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117"/>
  <workbookPr codeName="EstaPastaDeTrabalho" autoCompressPictures="0"/>
  <mc:AlternateContent xmlns:mc="http://schemas.openxmlformats.org/markup-compatibility/2006">
    <mc:Choice Requires="x15">
      <x15ac:absPath xmlns:x15ac="http://schemas.microsoft.com/office/spreadsheetml/2010/11/ac" url="C:\Users\georgev\OneDrive - chesf.gov.br\DCAI\Bolão Copa\"/>
    </mc:Choice>
  </mc:AlternateContent>
  <xr:revisionPtr revIDLastSave="28" documentId="11_B64D5983017D79DC473015F920F8D8A3528FC434" xr6:coauthVersionLast="47" xr6:coauthVersionMax="47" xr10:uidLastSave="{BAFF516F-BC42-5548-9433-8742F631A82B}"/>
  <bookViews>
    <workbookView xWindow="-120" yWindow="-120" windowWidth="16440" windowHeight="28440" activeTab="1" xr2:uid="{00000000-000D-0000-FFFF-FFFF00000000}"/>
  </bookViews>
  <sheets>
    <sheet name="Regras" sheetId="7" r:id="rId1"/>
    <sheet name="Copa2022" sheetId="4" r:id="rId2"/>
    <sheet name="Palpites" sheetId="26" r:id="rId3"/>
    <sheet name="Placar" sheetId="28" r:id="rId4"/>
    <sheet name="George" sheetId="9" r:id="rId5"/>
    <sheet name="Laurindo" sheetId="20" r:id="rId6"/>
    <sheet name="Priscilla" sheetId="15" r:id="rId7"/>
    <sheet name="Rubiane" sheetId="10" r:id="rId8"/>
    <sheet name="Aurea" sheetId="16" r:id="rId9"/>
    <sheet name="Germano" sheetId="14" r:id="rId10"/>
    <sheet name="Albenice" sheetId="23" r:id="rId11"/>
    <sheet name="Flavio" sheetId="25" r:id="rId12"/>
    <sheet name="Claudio" sheetId="24" r:id="rId13"/>
    <sheet name="Eduardo" sheetId="13" r:id="rId14"/>
    <sheet name="Marcus" sheetId="21" r:id="rId15"/>
    <sheet name="Adalberto" sheetId="22" r:id="rId16"/>
    <sheet name="Adriano" sheetId="11" r:id="rId17"/>
    <sheet name="Girlayne" sheetId="18" r:id="rId18"/>
    <sheet name="Denise" sheetId="17" r:id="rId19"/>
    <sheet name="Silvia" sheetId="19" r:id="rId20"/>
    <sheet name="Andrea" sheetId="12" r:id="rId21"/>
    <sheet name="Plan1" sheetId="29" r:id="rId22"/>
    <sheet name="2ª Fase" sheetId="3" state="veryHidden" r:id="rId23"/>
    <sheet name="Classificação 1ª fase" sheetId="2" state="veryHidden" r:id="rId24"/>
    <sheet name="Sheet1" sheetId="5" state="hidden" r:id="rId25"/>
    <sheet name="Sheet2" sheetId="6" state="hidden" r:id="rId26"/>
  </sheets>
  <definedNames>
    <definedName name="_xlnm._FilterDatabase" localSheetId="2" hidden="1">Palpites!$A$1:$H$698</definedName>
    <definedName name="_xlnm._FilterDatabase" localSheetId="21" hidden="1">Plan1!$B$2:$B$49</definedName>
    <definedName name="_xlnm.Extract" localSheetId="21">Plan1!$D$2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9" i="28" l="1"/>
  <c r="G9" i="28"/>
  <c r="Y50" i="28"/>
  <c r="I50" i="28"/>
  <c r="H50" i="28"/>
  <c r="G50" i="28"/>
  <c r="L50" i="28"/>
  <c r="Y49" i="28"/>
  <c r="I49" i="28"/>
  <c r="H49" i="28"/>
  <c r="G49" i="28"/>
  <c r="L49" i="28"/>
  <c r="Y48" i="28"/>
  <c r="I48" i="28"/>
  <c r="H48" i="28"/>
  <c r="G48" i="28"/>
  <c r="L48" i="28"/>
  <c r="Y47" i="28"/>
  <c r="I47" i="28"/>
  <c r="H47" i="28"/>
  <c r="G47" i="28"/>
  <c r="L47" i="28"/>
  <c r="Y46" i="28"/>
  <c r="G46" i="28"/>
  <c r="L46" i="28"/>
  <c r="I46" i="28"/>
  <c r="H46" i="28"/>
  <c r="Y45" i="28"/>
  <c r="Q45" i="28"/>
  <c r="I45" i="28"/>
  <c r="H45" i="28"/>
  <c r="G45" i="28"/>
  <c r="L45" i="28"/>
  <c r="Y44" i="28"/>
  <c r="I44" i="28"/>
  <c r="H44" i="28"/>
  <c r="G44" i="28"/>
  <c r="L44" i="28"/>
  <c r="Y43" i="28"/>
  <c r="I43" i="28"/>
  <c r="H43" i="28"/>
  <c r="G43" i="28"/>
  <c r="L43" i="28"/>
  <c r="Y42" i="28"/>
  <c r="I42" i="28"/>
  <c r="H42" i="28"/>
  <c r="G42" i="28"/>
  <c r="L42" i="28"/>
  <c r="Y41" i="28"/>
  <c r="G41" i="28"/>
  <c r="L41" i="28"/>
  <c r="I41" i="28"/>
  <c r="H41" i="28"/>
  <c r="Y40" i="28"/>
  <c r="I40" i="28"/>
  <c r="H40" i="28"/>
  <c r="G40" i="28"/>
  <c r="L40" i="28"/>
  <c r="Y39" i="28"/>
  <c r="Q39" i="28"/>
  <c r="I39" i="28"/>
  <c r="H39" i="28"/>
  <c r="G39" i="28"/>
  <c r="L39" i="28"/>
  <c r="Y38" i="28"/>
  <c r="I38" i="28"/>
  <c r="H38" i="28"/>
  <c r="G38" i="28"/>
  <c r="L38" i="28"/>
  <c r="Y37" i="28"/>
  <c r="I37" i="28"/>
  <c r="H37" i="28"/>
  <c r="G37" i="28"/>
  <c r="L37" i="28"/>
  <c r="Y36" i="28"/>
  <c r="I36" i="28"/>
  <c r="H36" i="28"/>
  <c r="G36" i="28"/>
  <c r="L36" i="28"/>
  <c r="Y35" i="28"/>
  <c r="I35" i="28"/>
  <c r="H35" i="28"/>
  <c r="G35" i="28"/>
  <c r="L35" i="28"/>
  <c r="Y34" i="28"/>
  <c r="G34" i="28"/>
  <c r="L34" i="28"/>
  <c r="I34" i="28"/>
  <c r="H34" i="28"/>
  <c r="Y33" i="28"/>
  <c r="Q33" i="28"/>
  <c r="I33" i="28"/>
  <c r="H33" i="28"/>
  <c r="G33" i="28"/>
  <c r="L33" i="28"/>
  <c r="Y32" i="28"/>
  <c r="I32" i="28"/>
  <c r="H32" i="28"/>
  <c r="G32" i="28"/>
  <c r="L32" i="28"/>
  <c r="Y31" i="28"/>
  <c r="I31" i="28"/>
  <c r="H31" i="28"/>
  <c r="G31" i="28"/>
  <c r="L31" i="28"/>
  <c r="Y30" i="28"/>
  <c r="I30" i="28"/>
  <c r="H30" i="28"/>
  <c r="G30" i="28"/>
  <c r="L30" i="28"/>
  <c r="Y29" i="28"/>
  <c r="G29" i="28"/>
  <c r="L29" i="28"/>
  <c r="I29" i="28"/>
  <c r="H29" i="28"/>
  <c r="Y28" i="28"/>
  <c r="I28" i="28"/>
  <c r="H28" i="28"/>
  <c r="G28" i="28"/>
  <c r="L28" i="28"/>
  <c r="Y27" i="28"/>
  <c r="Q27" i="28"/>
  <c r="I27" i="28"/>
  <c r="H27" i="28"/>
  <c r="G27" i="28"/>
  <c r="L27" i="28"/>
  <c r="Y26" i="28"/>
  <c r="I26" i="28"/>
  <c r="H26" i="28"/>
  <c r="G26" i="28"/>
  <c r="L26" i="28"/>
  <c r="Y25" i="28"/>
  <c r="I25" i="28"/>
  <c r="H25" i="28"/>
  <c r="G25" i="28"/>
  <c r="L25" i="28"/>
  <c r="Y24" i="28"/>
  <c r="I24" i="28"/>
  <c r="H24" i="28"/>
  <c r="G24" i="28"/>
  <c r="L24" i="28"/>
  <c r="Y23" i="28"/>
  <c r="I23" i="28"/>
  <c r="H23" i="28"/>
  <c r="G23" i="28"/>
  <c r="L23" i="28"/>
  <c r="G22" i="28"/>
  <c r="I22" i="28"/>
  <c r="Y22" i="28"/>
  <c r="L22" i="28"/>
  <c r="H22" i="28"/>
  <c r="Q21" i="28"/>
  <c r="I21" i="28"/>
  <c r="H21" i="28"/>
  <c r="G21" i="28"/>
  <c r="Y20" i="28"/>
  <c r="I20" i="28"/>
  <c r="H20" i="28"/>
  <c r="G20" i="28"/>
  <c r="L20" i="28"/>
  <c r="Y19" i="28"/>
  <c r="I19" i="28"/>
  <c r="H19" i="28"/>
  <c r="G19" i="28"/>
  <c r="L19" i="28"/>
  <c r="Y18" i="28"/>
  <c r="I18" i="28"/>
  <c r="H18" i="28"/>
  <c r="G18" i="28"/>
  <c r="L18" i="28"/>
  <c r="Y17" i="28"/>
  <c r="G17" i="28"/>
  <c r="L17" i="28"/>
  <c r="I17" i="28"/>
  <c r="H17" i="28"/>
  <c r="I16" i="28"/>
  <c r="H16" i="28"/>
  <c r="G16" i="28"/>
  <c r="Q15" i="28"/>
  <c r="I15" i="28"/>
  <c r="H15" i="28"/>
  <c r="G15" i="28"/>
  <c r="Y14" i="28"/>
  <c r="I14" i="28"/>
  <c r="H14" i="28"/>
  <c r="G14" i="28"/>
  <c r="L14" i="28"/>
  <c r="Y13" i="28"/>
  <c r="I13" i="28"/>
  <c r="H13" i="28"/>
  <c r="G13" i="28"/>
  <c r="L13" i="28"/>
  <c r="Y12" i="28"/>
  <c r="I12" i="28"/>
  <c r="H12" i="28"/>
  <c r="G12" i="28"/>
  <c r="L12" i="28"/>
  <c r="Y11" i="28"/>
  <c r="I11" i="28"/>
  <c r="H11" i="28"/>
  <c r="G11" i="28"/>
  <c r="L11" i="28"/>
  <c r="G10" i="28"/>
  <c r="I10" i="28"/>
  <c r="H10" i="28"/>
  <c r="Y9" i="28"/>
  <c r="Q9" i="28"/>
  <c r="H9" i="28"/>
  <c r="L9" i="28"/>
  <c r="Y8" i="28"/>
  <c r="I8" i="28"/>
  <c r="H8" i="28"/>
  <c r="G8" i="28"/>
  <c r="L8" i="28"/>
  <c r="Y7" i="28"/>
  <c r="I7" i="28"/>
  <c r="H7" i="28"/>
  <c r="G7" i="28"/>
  <c r="L7" i="28"/>
  <c r="Y6" i="28"/>
  <c r="I6" i="28"/>
  <c r="H6" i="28"/>
  <c r="G6" i="28"/>
  <c r="L6" i="28"/>
  <c r="Y5" i="28"/>
  <c r="G5" i="28"/>
  <c r="L5" i="28"/>
  <c r="I5" i="28"/>
  <c r="H5" i="28"/>
  <c r="I4" i="28"/>
  <c r="G4" i="28"/>
  <c r="Y4" i="28"/>
  <c r="H4" i="28"/>
  <c r="Q3" i="28"/>
  <c r="I3" i="28"/>
  <c r="H3" i="28"/>
  <c r="G3" i="28"/>
  <c r="L3" i="28"/>
  <c r="Y3" i="28"/>
  <c r="L28" i="20"/>
  <c r="L40" i="20"/>
  <c r="L45" i="20"/>
  <c r="L5" i="21"/>
  <c r="L12" i="21"/>
  <c r="L45" i="22"/>
  <c r="L6" i="11"/>
  <c r="L18" i="11"/>
  <c r="L28" i="11"/>
  <c r="L36" i="11"/>
  <c r="L40" i="18"/>
  <c r="L6" i="17"/>
  <c r="L24" i="17"/>
  <c r="L28" i="17"/>
  <c r="L34" i="17"/>
  <c r="L40" i="17"/>
  <c r="L6" i="15"/>
  <c r="L7" i="15"/>
  <c r="L11" i="15"/>
  <c r="L12" i="15"/>
  <c r="L18" i="15"/>
  <c r="L28" i="15"/>
  <c r="L34" i="15"/>
  <c r="L36" i="15"/>
  <c r="L40" i="15"/>
  <c r="L41" i="15"/>
  <c r="L45" i="15"/>
  <c r="L5" i="12"/>
  <c r="L6" i="12"/>
  <c r="L7" i="12"/>
  <c r="L8" i="12"/>
  <c r="L11" i="12"/>
  <c r="L12" i="12"/>
  <c r="L13" i="12"/>
  <c r="L14" i="12"/>
  <c r="L17" i="12"/>
  <c r="L18" i="12"/>
  <c r="L19" i="12"/>
  <c r="L20" i="12"/>
  <c r="Y22" i="12"/>
  <c r="F44" i="7"/>
  <c r="L22" i="12"/>
  <c r="L23" i="12"/>
  <c r="L24" i="12"/>
  <c r="L25" i="12"/>
  <c r="L26" i="12"/>
  <c r="L27" i="12"/>
  <c r="L28" i="12"/>
  <c r="L29" i="12"/>
  <c r="L30" i="12"/>
  <c r="L31" i="12"/>
  <c r="L32" i="12"/>
  <c r="L33" i="12"/>
  <c r="L34" i="12"/>
  <c r="L35" i="12"/>
  <c r="L36" i="12"/>
  <c r="L37" i="12"/>
  <c r="L38" i="12"/>
  <c r="L39" i="12"/>
  <c r="L40" i="12"/>
  <c r="L41" i="12"/>
  <c r="L42" i="12"/>
  <c r="L43" i="12"/>
  <c r="L44" i="12"/>
  <c r="L45" i="12"/>
  <c r="L46" i="12"/>
  <c r="L47" i="12"/>
  <c r="L48" i="12"/>
  <c r="L49" i="12"/>
  <c r="L50" i="12"/>
  <c r="L41" i="10"/>
  <c r="L11" i="19"/>
  <c r="L12" i="19"/>
  <c r="L18" i="19"/>
  <c r="L27" i="19"/>
  <c r="L28" i="19"/>
  <c r="L34" i="19"/>
  <c r="L36" i="19"/>
  <c r="Y4" i="25"/>
  <c r="F26" i="7"/>
  <c r="L4" i="25"/>
  <c r="Y4" i="15"/>
  <c r="L4" i="15"/>
  <c r="Y5" i="25"/>
  <c r="L5" i="25"/>
  <c r="F27" i="7"/>
  <c r="L5" i="17"/>
  <c r="L6" i="25"/>
  <c r="Y7" i="25"/>
  <c r="F29" i="7"/>
  <c r="Y8" i="25"/>
  <c r="F30" i="7"/>
  <c r="L18" i="25"/>
  <c r="L28" i="25"/>
  <c r="Y3" i="12"/>
  <c r="F25" i="7"/>
  <c r="L3" i="12"/>
  <c r="Y3" i="25"/>
  <c r="Y4" i="24"/>
  <c r="Y5" i="24"/>
  <c r="L5" i="24"/>
  <c r="Y6" i="24"/>
  <c r="F28" i="7"/>
  <c r="Y7" i="24"/>
  <c r="L7" i="24"/>
  <c r="Y8" i="24"/>
  <c r="L8" i="24"/>
  <c r="L28" i="24"/>
  <c r="L34" i="24"/>
  <c r="L41" i="24"/>
  <c r="L46" i="24"/>
  <c r="Y4" i="23"/>
  <c r="Y5" i="23"/>
  <c r="L5" i="23"/>
  <c r="L6" i="23"/>
  <c r="Y8" i="23"/>
  <c r="L8" i="23"/>
  <c r="L11" i="23"/>
  <c r="L17" i="23"/>
  <c r="L34" i="23"/>
  <c r="Y3" i="24"/>
  <c r="Y3" i="23"/>
  <c r="Y4" i="14"/>
  <c r="Y5" i="14"/>
  <c r="L5" i="14"/>
  <c r="Y6" i="14"/>
  <c r="Y8" i="14"/>
  <c r="L8" i="14"/>
  <c r="L12" i="14"/>
  <c r="L17" i="14"/>
  <c r="L36" i="14"/>
  <c r="L46" i="14"/>
  <c r="Y3" i="14"/>
  <c r="Y4" i="13"/>
  <c r="L5" i="13"/>
  <c r="Y6" i="13"/>
  <c r="L6" i="13"/>
  <c r="Y7" i="13"/>
  <c r="L7" i="13"/>
  <c r="L8" i="13"/>
  <c r="L12" i="13"/>
  <c r="L18" i="13"/>
  <c r="L27" i="13"/>
  <c r="L34" i="13"/>
  <c r="L40" i="13"/>
  <c r="L46" i="13"/>
  <c r="Y3" i="13"/>
  <c r="Y4" i="9"/>
  <c r="L4" i="9"/>
  <c r="Y5" i="9"/>
  <c r="L5" i="9"/>
  <c r="L6" i="9"/>
  <c r="Y8" i="9"/>
  <c r="L8" i="9"/>
  <c r="L11" i="9"/>
  <c r="L28" i="9"/>
  <c r="Y3" i="9"/>
  <c r="Y4" i="16"/>
  <c r="Y5" i="16"/>
  <c r="L5" i="16"/>
  <c r="Y6" i="16"/>
  <c r="Y7" i="16"/>
  <c r="Y8" i="16"/>
  <c r="L8" i="16"/>
  <c r="Y3" i="16"/>
  <c r="P2" i="2"/>
  <c r="R2" i="2"/>
  <c r="O2" i="2"/>
  <c r="O3" i="2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P3" i="2"/>
  <c r="P4" i="2"/>
  <c r="P5" i="2"/>
  <c r="P6" i="2"/>
  <c r="P7" i="2"/>
  <c r="P8" i="2"/>
  <c r="P9" i="2"/>
  <c r="R9" i="2"/>
  <c r="V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S2" i="2"/>
  <c r="S3" i="2"/>
  <c r="S4" i="2"/>
  <c r="S5" i="2"/>
  <c r="S6" i="2"/>
  <c r="S7" i="2"/>
  <c r="S8" i="2"/>
  <c r="S9" i="2"/>
  <c r="S10" i="2"/>
  <c r="S11" i="2"/>
  <c r="S12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R3" i="2"/>
  <c r="AJ8" i="2"/>
  <c r="R4" i="2"/>
  <c r="R5" i="2"/>
  <c r="R6" i="2"/>
  <c r="R7" i="2"/>
  <c r="R8" i="2"/>
  <c r="R10" i="2"/>
  <c r="R11" i="2"/>
  <c r="R12" i="2"/>
  <c r="R13" i="2"/>
  <c r="R14" i="2"/>
  <c r="R16" i="2"/>
  <c r="AI13" i="2"/>
  <c r="R15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AI6" i="2"/>
  <c r="V5" i="2"/>
  <c r="W5" i="2"/>
  <c r="AJ5" i="2"/>
  <c r="AI10" i="2"/>
  <c r="V10" i="2"/>
  <c r="W10" i="2"/>
  <c r="V11" i="2"/>
  <c r="W11" i="2"/>
  <c r="AJ15" i="2"/>
  <c r="V22" i="2"/>
  <c r="W22" i="2"/>
  <c r="AI18" i="2"/>
  <c r="V24" i="2"/>
  <c r="V26" i="2"/>
  <c r="W26" i="2"/>
  <c r="AI22" i="2"/>
  <c r="V30" i="2"/>
  <c r="W30" i="2"/>
  <c r="V32" i="2"/>
  <c r="V35" i="2"/>
  <c r="AI27" i="2"/>
  <c r="AJ30" i="2"/>
  <c r="V39" i="2"/>
  <c r="V40" i="2"/>
  <c r="V41" i="2"/>
  <c r="V42" i="2"/>
  <c r="V43" i="2"/>
  <c r="W43" i="2"/>
  <c r="AJ34" i="2"/>
  <c r="AJ7" i="2"/>
  <c r="F72" i="7"/>
  <c r="F62" i="7"/>
  <c r="F63" i="7"/>
  <c r="F64" i="7"/>
  <c r="F65" i="7"/>
  <c r="F66" i="7"/>
  <c r="F67" i="7"/>
  <c r="L45" i="21"/>
  <c r="F68" i="7"/>
  <c r="L46" i="11"/>
  <c r="F69" i="7"/>
  <c r="F70" i="7"/>
  <c r="L48" i="13"/>
  <c r="F71" i="7"/>
  <c r="F31" i="7"/>
  <c r="F32" i="7"/>
  <c r="Y10" i="24"/>
  <c r="L10" i="24"/>
  <c r="F33" i="7"/>
  <c r="F34" i="7"/>
  <c r="F35" i="7"/>
  <c r="L13" i="13"/>
  <c r="F36" i="7"/>
  <c r="L14" i="23"/>
  <c r="F37" i="7"/>
  <c r="Y15" i="13"/>
  <c r="L15" i="13"/>
  <c r="F38" i="7"/>
  <c r="F39" i="7"/>
  <c r="L17" i="19"/>
  <c r="F40" i="7"/>
  <c r="F41" i="7"/>
  <c r="F42" i="7"/>
  <c r="F43" i="7"/>
  <c r="Y21" i="17"/>
  <c r="L21" i="17"/>
  <c r="F45" i="7"/>
  <c r="F46" i="7"/>
  <c r="L24" i="22"/>
  <c r="F47" i="7"/>
  <c r="F48" i="7"/>
  <c r="F49" i="7"/>
  <c r="L27" i="14"/>
  <c r="F50" i="7"/>
  <c r="F51" i="7"/>
  <c r="F52" i="7"/>
  <c r="F53" i="7"/>
  <c r="F54" i="7"/>
  <c r="F55" i="7"/>
  <c r="L33" i="21"/>
  <c r="F56" i="7"/>
  <c r="F57" i="7"/>
  <c r="L35" i="21"/>
  <c r="F58" i="7"/>
  <c r="F59" i="7"/>
  <c r="F60" i="7"/>
  <c r="F61" i="7"/>
  <c r="L39" i="21"/>
  <c r="Y50" i="25"/>
  <c r="L50" i="25"/>
  <c r="Y49" i="25"/>
  <c r="Y48" i="25"/>
  <c r="Y47" i="25"/>
  <c r="Y46" i="25"/>
  <c r="Y45" i="25"/>
  <c r="Y44" i="25"/>
  <c r="L44" i="25"/>
  <c r="Y43" i="25"/>
  <c r="Y42" i="25"/>
  <c r="L42" i="25"/>
  <c r="Y41" i="25"/>
  <c r="Y40" i="25"/>
  <c r="L40" i="25"/>
  <c r="Y39" i="25"/>
  <c r="L39" i="25"/>
  <c r="Y38" i="25"/>
  <c r="Y37" i="25"/>
  <c r="L37" i="25"/>
  <c r="Y36" i="25"/>
  <c r="Y35" i="25"/>
  <c r="L35" i="25"/>
  <c r="Y34" i="25"/>
  <c r="Y33" i="25"/>
  <c r="L33" i="25"/>
  <c r="Y32" i="25"/>
  <c r="Y31" i="25"/>
  <c r="L31" i="25"/>
  <c r="Y30" i="25"/>
  <c r="Y29" i="25"/>
  <c r="L29" i="25"/>
  <c r="Y28" i="25"/>
  <c r="Y27" i="25"/>
  <c r="L27" i="25"/>
  <c r="Y26" i="25"/>
  <c r="Y25" i="25"/>
  <c r="L25" i="25"/>
  <c r="Y24" i="25"/>
  <c r="Y23" i="25"/>
  <c r="L23" i="25"/>
  <c r="Y22" i="25"/>
  <c r="Y21" i="25"/>
  <c r="L21" i="25"/>
  <c r="Y20" i="25"/>
  <c r="Y19" i="25"/>
  <c r="L19" i="25"/>
  <c r="Y18" i="25"/>
  <c r="Y17" i="25"/>
  <c r="L17" i="25"/>
  <c r="Y16" i="25"/>
  <c r="Y15" i="25"/>
  <c r="Y14" i="25"/>
  <c r="Y13" i="25"/>
  <c r="L13" i="25"/>
  <c r="Y12" i="25"/>
  <c r="Y11" i="25"/>
  <c r="L11" i="25"/>
  <c r="Y10" i="25"/>
  <c r="Y9" i="25"/>
  <c r="Y6" i="25"/>
  <c r="Y50" i="24"/>
  <c r="Y49" i="24"/>
  <c r="Y48" i="24"/>
  <c r="L48" i="24"/>
  <c r="Y47" i="24"/>
  <c r="Y46" i="24"/>
  <c r="Y45" i="24"/>
  <c r="Y44" i="24"/>
  <c r="L44" i="24"/>
  <c r="Y43" i="24"/>
  <c r="Y42" i="24"/>
  <c r="L42" i="24"/>
  <c r="Y41" i="24"/>
  <c r="Y40" i="24"/>
  <c r="L40" i="24"/>
  <c r="Y39" i="24"/>
  <c r="L39" i="24"/>
  <c r="Y38" i="24"/>
  <c r="Y37" i="24"/>
  <c r="L37" i="24"/>
  <c r="Y36" i="24"/>
  <c r="Y35" i="24"/>
  <c r="L35" i="24"/>
  <c r="Y34" i="24"/>
  <c r="Y33" i="24"/>
  <c r="L33" i="24"/>
  <c r="Y32" i="24"/>
  <c r="Y31" i="24"/>
  <c r="L31" i="24"/>
  <c r="Y30" i="24"/>
  <c r="Y29" i="24"/>
  <c r="L29" i="24"/>
  <c r="Y28" i="24"/>
  <c r="Y27" i="24"/>
  <c r="L27" i="24"/>
  <c r="Y26" i="24"/>
  <c r="Y25" i="24"/>
  <c r="L25" i="24"/>
  <c r="Y24" i="24"/>
  <c r="Y23" i="24"/>
  <c r="L23" i="24"/>
  <c r="Y22" i="24"/>
  <c r="Y21" i="24"/>
  <c r="L21" i="24"/>
  <c r="Y20" i="24"/>
  <c r="Y19" i="24"/>
  <c r="L19" i="24"/>
  <c r="Y18" i="24"/>
  <c r="Y17" i="24"/>
  <c r="L17" i="24"/>
  <c r="Y16" i="24"/>
  <c r="Y15" i="24"/>
  <c r="L15" i="24"/>
  <c r="Y14" i="24"/>
  <c r="Y13" i="24"/>
  <c r="L13" i="24"/>
  <c r="Y12" i="24"/>
  <c r="Y11" i="24"/>
  <c r="L11" i="24"/>
  <c r="Y9" i="24"/>
  <c r="Y50" i="23"/>
  <c r="Y49" i="23"/>
  <c r="L49" i="23"/>
  <c r="Y48" i="23"/>
  <c r="Y47" i="23"/>
  <c r="Y46" i="23"/>
  <c r="L46" i="23"/>
  <c r="Y45" i="23"/>
  <c r="L45" i="23"/>
  <c r="Y44" i="23"/>
  <c r="L44" i="23"/>
  <c r="Y43" i="23"/>
  <c r="Y42" i="23"/>
  <c r="L42" i="23"/>
  <c r="Y41" i="23"/>
  <c r="Y40" i="23"/>
  <c r="L40" i="23"/>
  <c r="Y39" i="23"/>
  <c r="L39" i="23"/>
  <c r="Y38" i="23"/>
  <c r="Y37" i="23"/>
  <c r="L37" i="23"/>
  <c r="Y36" i="23"/>
  <c r="Y35" i="23"/>
  <c r="L35" i="23"/>
  <c r="Y34" i="23"/>
  <c r="Y33" i="23"/>
  <c r="L33" i="23"/>
  <c r="Y32" i="23"/>
  <c r="Y31" i="23"/>
  <c r="L31" i="23"/>
  <c r="Y30" i="23"/>
  <c r="Y29" i="23"/>
  <c r="L29" i="23"/>
  <c r="Y28" i="23"/>
  <c r="Y27" i="23"/>
  <c r="L27" i="23"/>
  <c r="Y26" i="23"/>
  <c r="Y25" i="23"/>
  <c r="L25" i="23"/>
  <c r="Y24" i="23"/>
  <c r="Y23" i="23"/>
  <c r="L23" i="23"/>
  <c r="Y22" i="23"/>
  <c r="L22" i="23"/>
  <c r="Y21" i="23"/>
  <c r="Y20" i="23"/>
  <c r="Y19" i="23"/>
  <c r="L19" i="23"/>
  <c r="Y18" i="23"/>
  <c r="Y17" i="23"/>
  <c r="Y16" i="23"/>
  <c r="Y15" i="23"/>
  <c r="L15" i="23"/>
  <c r="Y14" i="23"/>
  <c r="Y13" i="23"/>
  <c r="L13" i="23"/>
  <c r="Y12" i="23"/>
  <c r="Y11" i="23"/>
  <c r="Y10" i="23"/>
  <c r="Y9" i="23"/>
  <c r="Y7" i="23"/>
  <c r="Y6" i="23"/>
  <c r="Y50" i="22"/>
  <c r="Y49" i="22"/>
  <c r="Y48" i="22"/>
  <c r="Y47" i="22"/>
  <c r="Y46" i="22"/>
  <c r="L46" i="22"/>
  <c r="Y45" i="22"/>
  <c r="Y44" i="22"/>
  <c r="L44" i="22"/>
  <c r="Y43" i="22"/>
  <c r="L43" i="22"/>
  <c r="Y42" i="22"/>
  <c r="L42" i="22"/>
  <c r="Y41" i="22"/>
  <c r="L41" i="22"/>
  <c r="Y40" i="22"/>
  <c r="L40" i="22"/>
  <c r="Y39" i="22"/>
  <c r="Y38" i="22"/>
  <c r="Y37" i="22"/>
  <c r="L37" i="22"/>
  <c r="Y36" i="22"/>
  <c r="Y35" i="22"/>
  <c r="L35" i="22"/>
  <c r="Y34" i="22"/>
  <c r="Y33" i="22"/>
  <c r="L33" i="22"/>
  <c r="Y32" i="22"/>
  <c r="Y31" i="22"/>
  <c r="L31" i="22"/>
  <c r="Y30" i="22"/>
  <c r="Y29" i="22"/>
  <c r="L29" i="22"/>
  <c r="Y28" i="22"/>
  <c r="Y27" i="22"/>
  <c r="L27" i="22"/>
  <c r="Y26" i="22"/>
  <c r="Y25" i="22"/>
  <c r="L25" i="22"/>
  <c r="Y24" i="22"/>
  <c r="Y23" i="22"/>
  <c r="L23" i="22"/>
  <c r="Y22" i="22"/>
  <c r="Y21" i="22"/>
  <c r="L21" i="22"/>
  <c r="Y20" i="22"/>
  <c r="Y19" i="22"/>
  <c r="L19" i="22"/>
  <c r="Y18" i="22"/>
  <c r="Y17" i="22"/>
  <c r="L17" i="22"/>
  <c r="Y16" i="22"/>
  <c r="Y15" i="22"/>
  <c r="Y14" i="22"/>
  <c r="Y13" i="22"/>
  <c r="L13" i="22"/>
  <c r="Y12" i="22"/>
  <c r="Y11" i="22"/>
  <c r="L11" i="22"/>
  <c r="Y10" i="22"/>
  <c r="L10" i="22"/>
  <c r="Y9" i="22"/>
  <c r="Y8" i="22"/>
  <c r="L8" i="22"/>
  <c r="Y7" i="22"/>
  <c r="Y6" i="22"/>
  <c r="Y5" i="22"/>
  <c r="L5" i="22"/>
  <c r="Y4" i="22"/>
  <c r="Y3" i="22"/>
  <c r="Y50" i="21"/>
  <c r="Y49" i="21"/>
  <c r="L49" i="21"/>
  <c r="Y48" i="21"/>
  <c r="Y47" i="21"/>
  <c r="L47" i="21"/>
  <c r="Y46" i="21"/>
  <c r="L46" i="21"/>
  <c r="Y45" i="21"/>
  <c r="Y44" i="21"/>
  <c r="L44" i="21"/>
  <c r="Y43" i="21"/>
  <c r="Y42" i="21"/>
  <c r="L42" i="21"/>
  <c r="Y41" i="21"/>
  <c r="L41" i="21"/>
  <c r="Y40" i="21"/>
  <c r="L40" i="21"/>
  <c r="Y39" i="21"/>
  <c r="Y38" i="21"/>
  <c r="Y37" i="21"/>
  <c r="L37" i="21"/>
  <c r="Y36" i="21"/>
  <c r="Y35" i="21"/>
  <c r="Y34" i="21"/>
  <c r="Y33" i="21"/>
  <c r="Y32" i="21"/>
  <c r="Y31" i="21"/>
  <c r="L31" i="21"/>
  <c r="Y30" i="21"/>
  <c r="Y29" i="21"/>
  <c r="L29" i="21"/>
  <c r="Y28" i="21"/>
  <c r="Y27" i="21"/>
  <c r="L27" i="21"/>
  <c r="Y26" i="21"/>
  <c r="Y25" i="21"/>
  <c r="L25" i="21"/>
  <c r="Y24" i="21"/>
  <c r="Y23" i="21"/>
  <c r="L23" i="21"/>
  <c r="Y22" i="21"/>
  <c r="Y21" i="21"/>
  <c r="L21" i="21"/>
  <c r="Y20" i="21"/>
  <c r="Y19" i="21"/>
  <c r="L19" i="21"/>
  <c r="Y18" i="21"/>
  <c r="Y17" i="21"/>
  <c r="Y16" i="21"/>
  <c r="Y15" i="21"/>
  <c r="Y14" i="21"/>
  <c r="Y13" i="21"/>
  <c r="L13" i="21"/>
  <c r="Y12" i="21"/>
  <c r="Y11" i="21"/>
  <c r="L11" i="21"/>
  <c r="Y10" i="21"/>
  <c r="Y9" i="21"/>
  <c r="Y8" i="21"/>
  <c r="L8" i="21"/>
  <c r="Y7" i="21"/>
  <c r="Y6" i="21"/>
  <c r="Y5" i="21"/>
  <c r="Y4" i="21"/>
  <c r="L4" i="21"/>
  <c r="Y3" i="21"/>
  <c r="Y50" i="20"/>
  <c r="Y49" i="20"/>
  <c r="L49" i="20"/>
  <c r="Y48" i="20"/>
  <c r="Y47" i="20"/>
  <c r="Y46" i="20"/>
  <c r="L46" i="20"/>
  <c r="Y45" i="20"/>
  <c r="Y44" i="20"/>
  <c r="L44" i="20"/>
  <c r="Y43" i="20"/>
  <c r="L43" i="20"/>
  <c r="Y42" i="20"/>
  <c r="L42" i="20"/>
  <c r="Y41" i="20"/>
  <c r="L41" i="20"/>
  <c r="Y40" i="20"/>
  <c r="Y39" i="20"/>
  <c r="L39" i="20"/>
  <c r="Y38" i="20"/>
  <c r="Y37" i="20"/>
  <c r="L37" i="20"/>
  <c r="Y36" i="20"/>
  <c r="Y35" i="20"/>
  <c r="L35" i="20"/>
  <c r="Y34" i="20"/>
  <c r="Y33" i="20"/>
  <c r="L33" i="20"/>
  <c r="Y32" i="20"/>
  <c r="Y31" i="20"/>
  <c r="L31" i="20"/>
  <c r="Y30" i="20"/>
  <c r="Y29" i="20"/>
  <c r="L29" i="20"/>
  <c r="Y28" i="20"/>
  <c r="Y27" i="20"/>
  <c r="L27" i="20"/>
  <c r="Y26" i="20"/>
  <c r="Y25" i="20"/>
  <c r="L25" i="20"/>
  <c r="Y24" i="20"/>
  <c r="Y23" i="20"/>
  <c r="L23" i="20"/>
  <c r="Y22" i="20"/>
  <c r="Y21" i="20"/>
  <c r="L21" i="20"/>
  <c r="Y20" i="20"/>
  <c r="Y19" i="20"/>
  <c r="L19" i="20"/>
  <c r="Y18" i="20"/>
  <c r="Y17" i="20"/>
  <c r="L17" i="20"/>
  <c r="Y16" i="20"/>
  <c r="Y15" i="20"/>
  <c r="L15" i="20"/>
  <c r="Y14" i="20"/>
  <c r="Y13" i="20"/>
  <c r="L13" i="20"/>
  <c r="Y12" i="20"/>
  <c r="Y11" i="20"/>
  <c r="L11" i="20"/>
  <c r="Y10" i="20"/>
  <c r="Y9" i="20"/>
  <c r="Y8" i="20"/>
  <c r="L8" i="20"/>
  <c r="Y7" i="20"/>
  <c r="Y6" i="20"/>
  <c r="Y5" i="20"/>
  <c r="L5" i="20"/>
  <c r="Y4" i="20"/>
  <c r="L4" i="20"/>
  <c r="Y3" i="20"/>
  <c r="Y50" i="19"/>
  <c r="Y49" i="19"/>
  <c r="L49" i="19"/>
  <c r="Y48" i="19"/>
  <c r="Y47" i="19"/>
  <c r="L47" i="19"/>
  <c r="Y46" i="19"/>
  <c r="L46" i="19"/>
  <c r="Y45" i="19"/>
  <c r="L45" i="19"/>
  <c r="Y44" i="19"/>
  <c r="L44" i="19"/>
  <c r="Y43" i="19"/>
  <c r="Y42" i="19"/>
  <c r="L42" i="19"/>
  <c r="Y41" i="19"/>
  <c r="L41" i="19"/>
  <c r="Y40" i="19"/>
  <c r="L40" i="19"/>
  <c r="Y39" i="19"/>
  <c r="L39" i="19"/>
  <c r="Y38" i="19"/>
  <c r="Y37" i="19"/>
  <c r="L37" i="19"/>
  <c r="Y36" i="19"/>
  <c r="Y35" i="19"/>
  <c r="Y34" i="19"/>
  <c r="Y33" i="19"/>
  <c r="L33" i="19"/>
  <c r="Y32" i="19"/>
  <c r="Y31" i="19"/>
  <c r="L31" i="19"/>
  <c r="Y30" i="19"/>
  <c r="Y29" i="19"/>
  <c r="L29" i="19"/>
  <c r="Y28" i="19"/>
  <c r="Y27" i="19"/>
  <c r="Y26" i="19"/>
  <c r="Y25" i="19"/>
  <c r="L25" i="19"/>
  <c r="Y24" i="19"/>
  <c r="Y23" i="19"/>
  <c r="L23" i="19"/>
  <c r="Y22" i="19"/>
  <c r="Y21" i="19"/>
  <c r="Y20" i="19"/>
  <c r="Y19" i="19"/>
  <c r="L19" i="19"/>
  <c r="Y18" i="19"/>
  <c r="Y17" i="19"/>
  <c r="Y16" i="19"/>
  <c r="Y15" i="19"/>
  <c r="Y14" i="19"/>
  <c r="Y13" i="19"/>
  <c r="L13" i="19"/>
  <c r="Y12" i="19"/>
  <c r="Y11" i="19"/>
  <c r="Y10" i="19"/>
  <c r="L10" i="19"/>
  <c r="Y9" i="19"/>
  <c r="Y8" i="19"/>
  <c r="L8" i="19"/>
  <c r="Y7" i="19"/>
  <c r="Y6" i="19"/>
  <c r="Y5" i="19"/>
  <c r="L5" i="19"/>
  <c r="Y4" i="19"/>
  <c r="L4" i="19"/>
  <c r="Y3" i="19"/>
  <c r="Y50" i="18"/>
  <c r="Y49" i="18"/>
  <c r="L49" i="18"/>
  <c r="Y48" i="18"/>
  <c r="Y47" i="18"/>
  <c r="Y46" i="18"/>
  <c r="L46" i="18"/>
  <c r="Y45" i="18"/>
  <c r="L45" i="18"/>
  <c r="Y44" i="18"/>
  <c r="L44" i="18"/>
  <c r="Y43" i="18"/>
  <c r="L43" i="18"/>
  <c r="Y42" i="18"/>
  <c r="L42" i="18"/>
  <c r="Y41" i="18"/>
  <c r="L41" i="18"/>
  <c r="Y40" i="18"/>
  <c r="Y39" i="18"/>
  <c r="L39" i="18"/>
  <c r="Y38" i="18"/>
  <c r="Y37" i="18"/>
  <c r="L37" i="18"/>
  <c r="Y36" i="18"/>
  <c r="Y35" i="18"/>
  <c r="L35" i="18"/>
  <c r="Y34" i="18"/>
  <c r="Y33" i="18"/>
  <c r="L33" i="18"/>
  <c r="Y32" i="18"/>
  <c r="Y31" i="18"/>
  <c r="L31" i="18"/>
  <c r="Y30" i="18"/>
  <c r="Y29" i="18"/>
  <c r="L29" i="18"/>
  <c r="Y28" i="18"/>
  <c r="Y27" i="18"/>
  <c r="L27" i="18"/>
  <c r="Y26" i="18"/>
  <c r="Y25" i="18"/>
  <c r="L25" i="18"/>
  <c r="Y24" i="18"/>
  <c r="Y23" i="18"/>
  <c r="L23" i="18"/>
  <c r="Y22" i="18"/>
  <c r="Y21" i="18"/>
  <c r="Y20" i="18"/>
  <c r="Y19" i="18"/>
  <c r="L19" i="18"/>
  <c r="Y18" i="18"/>
  <c r="Y17" i="18"/>
  <c r="L17" i="18"/>
  <c r="Y16" i="18"/>
  <c r="Y15" i="18"/>
  <c r="L15" i="18"/>
  <c r="Y14" i="18"/>
  <c r="Y13" i="18"/>
  <c r="L13" i="18"/>
  <c r="Y12" i="18"/>
  <c r="Y11" i="18"/>
  <c r="L11" i="18"/>
  <c r="Y10" i="18"/>
  <c r="L10" i="18"/>
  <c r="Y9" i="18"/>
  <c r="Y8" i="18"/>
  <c r="L8" i="18"/>
  <c r="Y7" i="18"/>
  <c r="Y6" i="18"/>
  <c r="Y5" i="18"/>
  <c r="L5" i="18"/>
  <c r="Y4" i="18"/>
  <c r="Y3" i="18"/>
  <c r="Y50" i="17"/>
  <c r="Y49" i="17"/>
  <c r="L49" i="17"/>
  <c r="Y48" i="17"/>
  <c r="Y47" i="17"/>
  <c r="L47" i="17"/>
  <c r="Y46" i="17"/>
  <c r="L46" i="17"/>
  <c r="Y45" i="17"/>
  <c r="L45" i="17"/>
  <c r="Y44" i="17"/>
  <c r="L44" i="17"/>
  <c r="Y43" i="17"/>
  <c r="L43" i="17"/>
  <c r="Y42" i="17"/>
  <c r="L42" i="17"/>
  <c r="Y41" i="17"/>
  <c r="L41" i="17"/>
  <c r="Y40" i="17"/>
  <c r="Y39" i="17"/>
  <c r="L39" i="17"/>
  <c r="Y38" i="17"/>
  <c r="Y37" i="17"/>
  <c r="L37" i="17"/>
  <c r="Y36" i="17"/>
  <c r="Y35" i="17"/>
  <c r="L35" i="17"/>
  <c r="Y34" i="17"/>
  <c r="Y33" i="17"/>
  <c r="L33" i="17"/>
  <c r="Y32" i="17"/>
  <c r="Y31" i="17"/>
  <c r="L31" i="17"/>
  <c r="Y30" i="17"/>
  <c r="Y29" i="17"/>
  <c r="L29" i="17"/>
  <c r="Y28" i="17"/>
  <c r="Y27" i="17"/>
  <c r="L27" i="17"/>
  <c r="Y26" i="17"/>
  <c r="Y25" i="17"/>
  <c r="L25" i="17"/>
  <c r="Y24" i="17"/>
  <c r="Y23" i="17"/>
  <c r="L23" i="17"/>
  <c r="Y22" i="17"/>
  <c r="Y20" i="17"/>
  <c r="Y19" i="17"/>
  <c r="L19" i="17"/>
  <c r="Y18" i="17"/>
  <c r="Y17" i="17"/>
  <c r="L17" i="17"/>
  <c r="Y16" i="17"/>
  <c r="Y15" i="17"/>
  <c r="Y14" i="17"/>
  <c r="Y13" i="17"/>
  <c r="L13" i="17"/>
  <c r="Y12" i="17"/>
  <c r="Y11" i="17"/>
  <c r="L11" i="17"/>
  <c r="Y10" i="17"/>
  <c r="Y9" i="17"/>
  <c r="Y8" i="17"/>
  <c r="L8" i="17"/>
  <c r="Y7" i="17"/>
  <c r="Y6" i="17"/>
  <c r="Y5" i="17"/>
  <c r="Y4" i="17"/>
  <c r="L4" i="17"/>
  <c r="Y3" i="17"/>
  <c r="Y50" i="16"/>
  <c r="Y49" i="16"/>
  <c r="L49" i="16"/>
  <c r="Y48" i="16"/>
  <c r="Y47" i="16"/>
  <c r="L47" i="16"/>
  <c r="Y46" i="16"/>
  <c r="L46" i="16"/>
  <c r="Y45" i="16"/>
  <c r="L45" i="16"/>
  <c r="Y44" i="16"/>
  <c r="L44" i="16"/>
  <c r="Y43" i="16"/>
  <c r="L43" i="16"/>
  <c r="Y42" i="16"/>
  <c r="L42" i="16"/>
  <c r="Y41" i="16"/>
  <c r="L41" i="16"/>
  <c r="Y40" i="16"/>
  <c r="L40" i="16"/>
  <c r="Y39" i="16"/>
  <c r="L39" i="16"/>
  <c r="Y38" i="16"/>
  <c r="Y37" i="16"/>
  <c r="L37" i="16"/>
  <c r="Y36" i="16"/>
  <c r="Y35" i="16"/>
  <c r="L35" i="16"/>
  <c r="Y34" i="16"/>
  <c r="Y33" i="16"/>
  <c r="L33" i="16"/>
  <c r="Y32" i="16"/>
  <c r="Y31" i="16"/>
  <c r="L31" i="16"/>
  <c r="Y30" i="16"/>
  <c r="Y29" i="16"/>
  <c r="L29" i="16"/>
  <c r="Y28" i="16"/>
  <c r="Y27" i="16"/>
  <c r="L27" i="16"/>
  <c r="Y26" i="16"/>
  <c r="Y25" i="16"/>
  <c r="L25" i="16"/>
  <c r="Y24" i="16"/>
  <c r="Y23" i="16"/>
  <c r="L23" i="16"/>
  <c r="Y22" i="16"/>
  <c r="Y21" i="16"/>
  <c r="L21" i="16"/>
  <c r="Y20" i="16"/>
  <c r="Y19" i="16"/>
  <c r="L19" i="16"/>
  <c r="Y18" i="16"/>
  <c r="Y17" i="16"/>
  <c r="L17" i="16"/>
  <c r="Y16" i="16"/>
  <c r="Y15" i="16"/>
  <c r="Y14" i="16"/>
  <c r="Y13" i="16"/>
  <c r="L13" i="16"/>
  <c r="Y12" i="16"/>
  <c r="Y11" i="16"/>
  <c r="L11" i="16"/>
  <c r="Y10" i="16"/>
  <c r="Y9" i="16"/>
  <c r="Y50" i="15"/>
  <c r="Y49" i="15"/>
  <c r="Y48" i="15"/>
  <c r="L48" i="15"/>
  <c r="Y47" i="15"/>
  <c r="Y46" i="15"/>
  <c r="L46" i="15"/>
  <c r="Y45" i="15"/>
  <c r="Y44" i="15"/>
  <c r="L44" i="15"/>
  <c r="Y43" i="15"/>
  <c r="Y42" i="15"/>
  <c r="L42" i="15"/>
  <c r="Y41" i="15"/>
  <c r="Y40" i="15"/>
  <c r="Y39" i="15"/>
  <c r="L39" i="15"/>
  <c r="Y38" i="15"/>
  <c r="L38" i="15"/>
  <c r="Y37" i="15"/>
  <c r="L37" i="15"/>
  <c r="Y36" i="15"/>
  <c r="Y35" i="15"/>
  <c r="L35" i="15"/>
  <c r="Y34" i="15"/>
  <c r="Y33" i="15"/>
  <c r="L33" i="15"/>
  <c r="Y32" i="15"/>
  <c r="Y31" i="15"/>
  <c r="L31" i="15"/>
  <c r="Y30" i="15"/>
  <c r="L30" i="15"/>
  <c r="Y29" i="15"/>
  <c r="L29" i="15"/>
  <c r="Y28" i="15"/>
  <c r="Y27" i="15"/>
  <c r="L27" i="15"/>
  <c r="Y26" i="15"/>
  <c r="L26" i="15"/>
  <c r="Y25" i="15"/>
  <c r="L25" i="15"/>
  <c r="Y24" i="15"/>
  <c r="Y23" i="15"/>
  <c r="L23" i="15"/>
  <c r="Y22" i="15"/>
  <c r="L22" i="15"/>
  <c r="Y21" i="15"/>
  <c r="L21" i="15"/>
  <c r="Y20" i="15"/>
  <c r="Y19" i="15"/>
  <c r="L19" i="15"/>
  <c r="Y18" i="15"/>
  <c r="Y17" i="15"/>
  <c r="L17" i="15"/>
  <c r="Y16" i="15"/>
  <c r="Y15" i="15"/>
  <c r="Y14" i="15"/>
  <c r="L14" i="15"/>
  <c r="Y13" i="15"/>
  <c r="L13" i="15"/>
  <c r="Y12" i="15"/>
  <c r="Y11" i="15"/>
  <c r="Y10" i="15"/>
  <c r="L10" i="15"/>
  <c r="Y9" i="15"/>
  <c r="Y8" i="15"/>
  <c r="L8" i="15"/>
  <c r="Y7" i="15"/>
  <c r="Y6" i="15"/>
  <c r="Y5" i="15"/>
  <c r="L5" i="15"/>
  <c r="Y3" i="15"/>
  <c r="Y50" i="14"/>
  <c r="Y49" i="14"/>
  <c r="Y48" i="14"/>
  <c r="L48" i="14"/>
  <c r="Y47" i="14"/>
  <c r="Y46" i="14"/>
  <c r="Y45" i="14"/>
  <c r="Y44" i="14"/>
  <c r="L44" i="14"/>
  <c r="Y43" i="14"/>
  <c r="Y42" i="14"/>
  <c r="L42" i="14"/>
  <c r="Y41" i="14"/>
  <c r="Y40" i="14"/>
  <c r="L40" i="14"/>
  <c r="Y39" i="14"/>
  <c r="Y38" i="14"/>
  <c r="Y37" i="14"/>
  <c r="L37" i="14"/>
  <c r="Y36" i="14"/>
  <c r="Y35" i="14"/>
  <c r="L35" i="14"/>
  <c r="Y34" i="14"/>
  <c r="Y33" i="14"/>
  <c r="L33" i="14"/>
  <c r="Y32" i="14"/>
  <c r="Y31" i="14"/>
  <c r="L31" i="14"/>
  <c r="Y30" i="14"/>
  <c r="Y29" i="14"/>
  <c r="L29" i="14"/>
  <c r="Y28" i="14"/>
  <c r="Y27" i="14"/>
  <c r="Y26" i="14"/>
  <c r="Y25" i="14"/>
  <c r="L25" i="14"/>
  <c r="Y24" i="14"/>
  <c r="Y23" i="14"/>
  <c r="L23" i="14"/>
  <c r="Y22" i="14"/>
  <c r="Y21" i="14"/>
  <c r="Y20" i="14"/>
  <c r="Y19" i="14"/>
  <c r="L19" i="14"/>
  <c r="Y18" i="14"/>
  <c r="Y17" i="14"/>
  <c r="Y16" i="14"/>
  <c r="Y15" i="14"/>
  <c r="L15" i="14"/>
  <c r="Y14" i="14"/>
  <c r="Y13" i="14"/>
  <c r="L13" i="14"/>
  <c r="Y12" i="14"/>
  <c r="Y11" i="14"/>
  <c r="L11" i="14"/>
  <c r="Y10" i="14"/>
  <c r="Y9" i="14"/>
  <c r="Y7" i="14"/>
  <c r="Y50" i="13"/>
  <c r="Y49" i="13"/>
  <c r="L49" i="13"/>
  <c r="Y48" i="13"/>
  <c r="Y47" i="13"/>
  <c r="Y46" i="13"/>
  <c r="Y45" i="13"/>
  <c r="Y44" i="13"/>
  <c r="L44" i="13"/>
  <c r="Y43" i="13"/>
  <c r="Y42" i="13"/>
  <c r="L42" i="13"/>
  <c r="Y41" i="13"/>
  <c r="Y40" i="13"/>
  <c r="Y39" i="13"/>
  <c r="L39" i="13"/>
  <c r="Y38" i="13"/>
  <c r="Y37" i="13"/>
  <c r="L37" i="13"/>
  <c r="Y36" i="13"/>
  <c r="L36" i="13"/>
  <c r="Y35" i="13"/>
  <c r="L35" i="13"/>
  <c r="Y34" i="13"/>
  <c r="Y33" i="13"/>
  <c r="L33" i="13"/>
  <c r="Y32" i="13"/>
  <c r="L32" i="13"/>
  <c r="Y31" i="13"/>
  <c r="L31" i="13"/>
  <c r="Y30" i="13"/>
  <c r="L30" i="13"/>
  <c r="Y29" i="13"/>
  <c r="L29" i="13"/>
  <c r="Y28" i="13"/>
  <c r="L28" i="13"/>
  <c r="Y27" i="13"/>
  <c r="Y26" i="13"/>
  <c r="L26" i="13"/>
  <c r="Y25" i="13"/>
  <c r="L25" i="13"/>
  <c r="Y24" i="13"/>
  <c r="L24" i="13"/>
  <c r="Y23" i="13"/>
  <c r="L23" i="13"/>
  <c r="Y22" i="13"/>
  <c r="L22" i="13"/>
  <c r="Y21" i="13"/>
  <c r="Y20" i="13"/>
  <c r="L20" i="13"/>
  <c r="Y19" i="13"/>
  <c r="L19" i="13"/>
  <c r="Y18" i="13"/>
  <c r="Y17" i="13"/>
  <c r="L17" i="13"/>
  <c r="Y16" i="13"/>
  <c r="L16" i="13"/>
  <c r="Y14" i="13"/>
  <c r="L14" i="13"/>
  <c r="Y13" i="13"/>
  <c r="Y12" i="13"/>
  <c r="Y11" i="13"/>
  <c r="L11" i="13"/>
  <c r="Y10" i="13"/>
  <c r="L10" i="13"/>
  <c r="Y9" i="13"/>
  <c r="Y8" i="13"/>
  <c r="Y5" i="13"/>
  <c r="Y50" i="12"/>
  <c r="Y49" i="12"/>
  <c r="Y48" i="12"/>
  <c r="Y47" i="12"/>
  <c r="Y46" i="12"/>
  <c r="Y45" i="12"/>
  <c r="Y44" i="12"/>
  <c r="Y43" i="12"/>
  <c r="Y42" i="12"/>
  <c r="Y41" i="12"/>
  <c r="Y40" i="12"/>
  <c r="Y39" i="12"/>
  <c r="Y38" i="12"/>
  <c r="Y37" i="12"/>
  <c r="Y36" i="12"/>
  <c r="Y35" i="12"/>
  <c r="Y34" i="12"/>
  <c r="Y33" i="12"/>
  <c r="Y32" i="12"/>
  <c r="Y31" i="12"/>
  <c r="Y30" i="12"/>
  <c r="Y29" i="12"/>
  <c r="Y28" i="12"/>
  <c r="Y27" i="12"/>
  <c r="Y26" i="12"/>
  <c r="Y25" i="12"/>
  <c r="Y24" i="12"/>
  <c r="Y23" i="12"/>
  <c r="Y21" i="12"/>
  <c r="L21" i="12"/>
  <c r="Y20" i="12"/>
  <c r="Y19" i="12"/>
  <c r="Y18" i="12"/>
  <c r="Y17" i="12"/>
  <c r="Y16" i="12"/>
  <c r="L16" i="12"/>
  <c r="Y15" i="12"/>
  <c r="Y14" i="12"/>
  <c r="Y13" i="12"/>
  <c r="Y12" i="12"/>
  <c r="Y11" i="12"/>
  <c r="Y10" i="12"/>
  <c r="L10" i="12"/>
  <c r="Y9" i="12"/>
  <c r="Y8" i="12"/>
  <c r="Y7" i="12"/>
  <c r="Y6" i="12"/>
  <c r="Y5" i="12"/>
  <c r="Y4" i="12"/>
  <c r="Y50" i="11"/>
  <c r="Y49" i="11"/>
  <c r="L49" i="11"/>
  <c r="Y48" i="11"/>
  <c r="Y47" i="11"/>
  <c r="Y46" i="11"/>
  <c r="Y45" i="11"/>
  <c r="Y44" i="11"/>
  <c r="L44" i="11"/>
  <c r="Y43" i="11"/>
  <c r="Y42" i="11"/>
  <c r="L42" i="11"/>
  <c r="Y41" i="11"/>
  <c r="Y40" i="11"/>
  <c r="L40" i="11"/>
  <c r="Y39" i="11"/>
  <c r="L39" i="11"/>
  <c r="Y38" i="11"/>
  <c r="L38" i="11"/>
  <c r="Y37" i="11"/>
  <c r="L37" i="11"/>
  <c r="Y36" i="11"/>
  <c r="Y35" i="11"/>
  <c r="L35" i="11"/>
  <c r="Y34" i="11"/>
  <c r="L34" i="11"/>
  <c r="Y33" i="11"/>
  <c r="L33" i="11"/>
  <c r="Y32" i="11"/>
  <c r="L32" i="11"/>
  <c r="Y31" i="11"/>
  <c r="L31" i="11"/>
  <c r="Y30" i="11"/>
  <c r="L30" i="11"/>
  <c r="Y29" i="11"/>
  <c r="L29" i="11"/>
  <c r="Y28" i="11"/>
  <c r="Y27" i="11"/>
  <c r="L27" i="11"/>
  <c r="Y26" i="11"/>
  <c r="L26" i="11"/>
  <c r="Y25" i="11"/>
  <c r="L25" i="11"/>
  <c r="Y24" i="11"/>
  <c r="L24" i="11"/>
  <c r="Y23" i="11"/>
  <c r="L23" i="11"/>
  <c r="Y22" i="11"/>
  <c r="Y21" i="11"/>
  <c r="L21" i="11"/>
  <c r="Y20" i="11"/>
  <c r="L20" i="11"/>
  <c r="Y19" i="11"/>
  <c r="L19" i="11"/>
  <c r="Y18" i="11"/>
  <c r="Y17" i="11"/>
  <c r="L17" i="11"/>
  <c r="Y16" i="11"/>
  <c r="L16" i="11"/>
  <c r="Y15" i="11"/>
  <c r="Y14" i="11"/>
  <c r="L14" i="11"/>
  <c r="Y13" i="11"/>
  <c r="L13" i="11"/>
  <c r="Y12" i="11"/>
  <c r="L12" i="11"/>
  <c r="Y11" i="11"/>
  <c r="L11" i="11"/>
  <c r="Y10" i="11"/>
  <c r="L10" i="11"/>
  <c r="Y9" i="11"/>
  <c r="L9" i="11"/>
  <c r="Y8" i="11"/>
  <c r="L8" i="11"/>
  <c r="Y7" i="11"/>
  <c r="Y6" i="11"/>
  <c r="Y5" i="11"/>
  <c r="L5" i="11"/>
  <c r="Y4" i="11"/>
  <c r="L4" i="11"/>
  <c r="Y3" i="11"/>
  <c r="Y50" i="10"/>
  <c r="Y49" i="10"/>
  <c r="Y48" i="10"/>
  <c r="Y47" i="10"/>
  <c r="Y46" i="10"/>
  <c r="Y45" i="10"/>
  <c r="Y44" i="10"/>
  <c r="L44" i="10"/>
  <c r="Y43" i="10"/>
  <c r="Y42" i="10"/>
  <c r="L42" i="10"/>
  <c r="Y41" i="10"/>
  <c r="Y40" i="10"/>
  <c r="L40" i="10"/>
  <c r="Y39" i="10"/>
  <c r="L39" i="10"/>
  <c r="Y38" i="10"/>
  <c r="L38" i="10"/>
  <c r="Y37" i="10"/>
  <c r="L37" i="10"/>
  <c r="Y36" i="10"/>
  <c r="L36" i="10"/>
  <c r="Y35" i="10"/>
  <c r="L35" i="10"/>
  <c r="Y34" i="10"/>
  <c r="L34" i="10"/>
  <c r="Y33" i="10"/>
  <c r="L33" i="10"/>
  <c r="Y32" i="10"/>
  <c r="L32" i="10"/>
  <c r="Y31" i="10"/>
  <c r="L31" i="10"/>
  <c r="Y30" i="10"/>
  <c r="L30" i="10"/>
  <c r="Y29" i="10"/>
  <c r="L29" i="10"/>
  <c r="Y28" i="10"/>
  <c r="L28" i="10"/>
  <c r="Y27" i="10"/>
  <c r="Y26" i="10"/>
  <c r="L26" i="10"/>
  <c r="Y25" i="10"/>
  <c r="L25" i="10"/>
  <c r="Y24" i="10"/>
  <c r="L24" i="10"/>
  <c r="Y23" i="10"/>
  <c r="L23" i="10"/>
  <c r="Y22" i="10"/>
  <c r="L22" i="10"/>
  <c r="Y21" i="10"/>
  <c r="L21" i="10"/>
  <c r="Y20" i="10"/>
  <c r="L20" i="10"/>
  <c r="Y19" i="10"/>
  <c r="L19" i="10"/>
  <c r="Y18" i="10"/>
  <c r="L18" i="10"/>
  <c r="Y17" i="10"/>
  <c r="L17" i="10"/>
  <c r="Y16" i="10"/>
  <c r="L16" i="10"/>
  <c r="Y15" i="10"/>
  <c r="Y14" i="10"/>
  <c r="L14" i="10"/>
  <c r="Y13" i="10"/>
  <c r="L13" i="10"/>
  <c r="Y12" i="10"/>
  <c r="L12" i="10"/>
  <c r="Y11" i="10"/>
  <c r="L11" i="10"/>
  <c r="Y10" i="10"/>
  <c r="L10" i="10"/>
  <c r="Y9" i="10"/>
  <c r="Y8" i="10"/>
  <c r="L8" i="10"/>
  <c r="Y7" i="10"/>
  <c r="Y6" i="10"/>
  <c r="L6" i="10"/>
  <c r="Y5" i="10"/>
  <c r="L5" i="10"/>
  <c r="Y4" i="10"/>
  <c r="L4" i="10"/>
  <c r="Y3" i="10"/>
  <c r="Y47" i="9"/>
  <c r="L47" i="9"/>
  <c r="Y48" i="9"/>
  <c r="Y49" i="9"/>
  <c r="L49" i="9"/>
  <c r="Y50" i="9"/>
  <c r="Y6" i="9"/>
  <c r="Y7" i="9"/>
  <c r="Y9" i="9"/>
  <c r="Y10" i="9"/>
  <c r="L10" i="9"/>
  <c r="Y11" i="9"/>
  <c r="Y12" i="9"/>
  <c r="Y13" i="9"/>
  <c r="L13" i="9"/>
  <c r="Y14" i="9"/>
  <c r="L14" i="9"/>
  <c r="Y15" i="9"/>
  <c r="L15" i="9"/>
  <c r="Y16" i="9"/>
  <c r="Y17" i="9"/>
  <c r="L17" i="9"/>
  <c r="Y18" i="9"/>
  <c r="Y19" i="9"/>
  <c r="L19" i="9"/>
  <c r="Y20" i="9"/>
  <c r="Y21" i="9"/>
  <c r="L21" i="9"/>
  <c r="Y22" i="9"/>
  <c r="Y23" i="9"/>
  <c r="L23" i="9"/>
  <c r="Y24" i="9"/>
  <c r="Y25" i="9"/>
  <c r="L25" i="9"/>
  <c r="Y26" i="9"/>
  <c r="Y27" i="9"/>
  <c r="L27" i="9"/>
  <c r="Y28" i="9"/>
  <c r="Y29" i="9"/>
  <c r="L29" i="9"/>
  <c r="Y30" i="9"/>
  <c r="L30" i="9"/>
  <c r="Y31" i="9"/>
  <c r="L31" i="9"/>
  <c r="Y32" i="9"/>
  <c r="Y33" i="9"/>
  <c r="L33" i="9"/>
  <c r="Y34" i="9"/>
  <c r="L34" i="9"/>
  <c r="Y35" i="9"/>
  <c r="L35" i="9"/>
  <c r="Y36" i="9"/>
  <c r="Y37" i="9"/>
  <c r="L37" i="9"/>
  <c r="Y38" i="9"/>
  <c r="L38" i="9"/>
  <c r="Y39" i="9"/>
  <c r="L39" i="9"/>
  <c r="Y40" i="9"/>
  <c r="L40" i="9"/>
  <c r="Y41" i="9"/>
  <c r="L41" i="9"/>
  <c r="Y42" i="9"/>
  <c r="L42" i="9"/>
  <c r="Y43" i="9"/>
  <c r="L43" i="9"/>
  <c r="Y44" i="9"/>
  <c r="L44" i="9"/>
  <c r="Y45" i="9"/>
  <c r="L45" i="9"/>
  <c r="Y46" i="9"/>
  <c r="F37" i="3"/>
  <c r="H37" i="3"/>
  <c r="J37" i="3"/>
  <c r="E43" i="3"/>
  <c r="E87" i="4"/>
  <c r="E42" i="3"/>
  <c r="E86" i="4"/>
  <c r="F39" i="3"/>
  <c r="H39" i="3"/>
  <c r="J39" i="3"/>
  <c r="E41" i="3"/>
  <c r="E85" i="4"/>
  <c r="E40" i="3"/>
  <c r="E84" i="4"/>
  <c r="F20" i="3"/>
  <c r="P50" i="2"/>
  <c r="H20" i="3"/>
  <c r="R50" i="2"/>
  <c r="V50" i="2"/>
  <c r="W50" i="2"/>
  <c r="AI9" i="2"/>
  <c r="AJ9" i="2"/>
  <c r="X50" i="2"/>
  <c r="Y50" i="2"/>
  <c r="Z50" i="2"/>
  <c r="F21" i="3"/>
  <c r="P51" i="2"/>
  <c r="H21" i="3"/>
  <c r="R51" i="2"/>
  <c r="V51" i="2"/>
  <c r="AJ16" i="2"/>
  <c r="W51" i="2"/>
  <c r="AJ18" i="2"/>
  <c r="X51" i="2"/>
  <c r="Y51" i="2"/>
  <c r="Z51" i="2"/>
  <c r="F22" i="3"/>
  <c r="P52" i="2"/>
  <c r="H22" i="3"/>
  <c r="R52" i="2"/>
  <c r="V52" i="2"/>
  <c r="W52" i="2"/>
  <c r="X52" i="2"/>
  <c r="Y52" i="2"/>
  <c r="Z52" i="2"/>
  <c r="F23" i="3"/>
  <c r="P53" i="2"/>
  <c r="H23" i="3"/>
  <c r="R53" i="2"/>
  <c r="V53" i="2"/>
  <c r="W53" i="2"/>
  <c r="X53" i="2"/>
  <c r="Y53" i="2"/>
  <c r="Z53" i="2"/>
  <c r="F24" i="3"/>
  <c r="P54" i="2"/>
  <c r="H24" i="3"/>
  <c r="R54" i="2"/>
  <c r="V54" i="2"/>
  <c r="W54" i="2"/>
  <c r="AJ26" i="2"/>
  <c r="AJ28" i="2"/>
  <c r="X54" i="2"/>
  <c r="Y54" i="2"/>
  <c r="Z54" i="2"/>
  <c r="F25" i="3"/>
  <c r="P55" i="2"/>
  <c r="H25" i="3"/>
  <c r="R55" i="2"/>
  <c r="V55" i="2"/>
  <c r="AI29" i="2"/>
  <c r="AI31" i="2"/>
  <c r="AJ32" i="2"/>
  <c r="W55" i="2"/>
  <c r="X55" i="2"/>
  <c r="Y55" i="2"/>
  <c r="Z55" i="2"/>
  <c r="F26" i="3"/>
  <c r="P56" i="2"/>
  <c r="H26" i="3"/>
  <c r="R56" i="2"/>
  <c r="V56" i="2"/>
  <c r="W56" i="2"/>
  <c r="X56" i="2"/>
  <c r="Y56" i="2"/>
  <c r="Z56" i="2"/>
  <c r="F27" i="3"/>
  <c r="P57" i="2"/>
  <c r="H27" i="3"/>
  <c r="R57" i="2"/>
  <c r="V57" i="2"/>
  <c r="W57" i="2"/>
  <c r="X57" i="2"/>
  <c r="Y57" i="2"/>
  <c r="Z57" i="2"/>
  <c r="P58" i="2"/>
  <c r="R58" i="2"/>
  <c r="V58" i="2"/>
  <c r="W58" i="2"/>
  <c r="X58" i="2"/>
  <c r="Y58" i="2"/>
  <c r="Z58" i="2"/>
  <c r="F29" i="3"/>
  <c r="P59" i="2"/>
  <c r="H29" i="3"/>
  <c r="R59" i="2"/>
  <c r="V59" i="2"/>
  <c r="J21" i="3"/>
  <c r="I29" i="3"/>
  <c r="S59" i="2"/>
  <c r="W59" i="2"/>
  <c r="J20" i="3"/>
  <c r="E29" i="3"/>
  <c r="O59" i="2"/>
  <c r="X59" i="2"/>
  <c r="Y59" i="2"/>
  <c r="Z59" i="2"/>
  <c r="F30" i="3"/>
  <c r="P60" i="2"/>
  <c r="H30" i="3"/>
  <c r="R60" i="2"/>
  <c r="V60" i="2"/>
  <c r="J22" i="3"/>
  <c r="E31" i="3"/>
  <c r="S60" i="2"/>
  <c r="W60" i="2"/>
  <c r="J23" i="3"/>
  <c r="I31" i="3"/>
  <c r="O60" i="2"/>
  <c r="X60" i="2"/>
  <c r="Y60" i="2"/>
  <c r="Z60" i="2"/>
  <c r="F31" i="3"/>
  <c r="P61" i="2"/>
  <c r="H31" i="3"/>
  <c r="R61" i="2"/>
  <c r="V61" i="2"/>
  <c r="W61" i="2"/>
  <c r="X61" i="2"/>
  <c r="J26" i="3"/>
  <c r="E32" i="3"/>
  <c r="O61" i="2"/>
  <c r="Y61" i="2"/>
  <c r="J27" i="3"/>
  <c r="I32" i="3"/>
  <c r="S61" i="2"/>
  <c r="Z61" i="2"/>
  <c r="F32" i="3"/>
  <c r="P62" i="2"/>
  <c r="H32" i="3"/>
  <c r="R62" i="2"/>
  <c r="V62" i="2"/>
  <c r="J29" i="3"/>
  <c r="E34" i="3"/>
  <c r="S62" i="2"/>
  <c r="W62" i="2"/>
  <c r="J25" i="3"/>
  <c r="I30" i="3"/>
  <c r="I72" i="4"/>
  <c r="J30" i="3"/>
  <c r="J24" i="3"/>
  <c r="E30" i="3"/>
  <c r="O58" i="2"/>
  <c r="I34" i="3"/>
  <c r="O62" i="2"/>
  <c r="X62" i="2"/>
  <c r="Y62" i="2"/>
  <c r="Z62" i="2"/>
  <c r="P63" i="2"/>
  <c r="R63" i="2"/>
  <c r="V63" i="2"/>
  <c r="W63" i="2"/>
  <c r="X63" i="2"/>
  <c r="Y63" i="2"/>
  <c r="Z63" i="2"/>
  <c r="F34" i="3"/>
  <c r="P64" i="2"/>
  <c r="H34" i="3"/>
  <c r="R64" i="2"/>
  <c r="V64" i="2"/>
  <c r="J34" i="3"/>
  <c r="E39" i="3"/>
  <c r="O64" i="2"/>
  <c r="W64" i="2"/>
  <c r="J32" i="3"/>
  <c r="I35" i="3"/>
  <c r="S63" i="2"/>
  <c r="F35" i="3"/>
  <c r="H35" i="3"/>
  <c r="J35" i="3"/>
  <c r="I37" i="3"/>
  <c r="I79" i="4"/>
  <c r="X64" i="2"/>
  <c r="Y64" i="2"/>
  <c r="Z64" i="2"/>
  <c r="P65" i="2"/>
  <c r="R65" i="2"/>
  <c r="V65" i="2"/>
  <c r="E37" i="3"/>
  <c r="O65" i="2"/>
  <c r="W65" i="2"/>
  <c r="J31" i="3"/>
  <c r="E35" i="3"/>
  <c r="E77" i="4"/>
  <c r="I39" i="3"/>
  <c r="S65" i="2"/>
  <c r="X65" i="2"/>
  <c r="Y65" i="2"/>
  <c r="Z6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35" i="2"/>
  <c r="E44" i="3"/>
  <c r="Y7" i="4"/>
  <c r="P53" i="4"/>
  <c r="Q53" i="4"/>
  <c r="R53" i="4"/>
  <c r="S53" i="4"/>
  <c r="T53" i="4"/>
  <c r="U53" i="4"/>
  <c r="V53" i="4"/>
  <c r="W53" i="4"/>
  <c r="B47" i="2"/>
  <c r="N54" i="4"/>
  <c r="N53" i="4"/>
  <c r="P47" i="4"/>
  <c r="Q47" i="4"/>
  <c r="R47" i="4"/>
  <c r="S47" i="4"/>
  <c r="T47" i="4"/>
  <c r="U47" i="4"/>
  <c r="V47" i="4"/>
  <c r="W47" i="4"/>
  <c r="B41" i="2"/>
  <c r="N48" i="4"/>
  <c r="N47" i="4"/>
  <c r="P41" i="4"/>
  <c r="Q41" i="4"/>
  <c r="R41" i="4"/>
  <c r="S41" i="4"/>
  <c r="T41" i="4"/>
  <c r="U41" i="4"/>
  <c r="V41" i="4"/>
  <c r="W41" i="4"/>
  <c r="B35" i="2"/>
  <c r="N42" i="4"/>
  <c r="N41" i="4"/>
  <c r="P35" i="4"/>
  <c r="Q35" i="4"/>
  <c r="R35" i="4"/>
  <c r="S35" i="4"/>
  <c r="T35" i="4"/>
  <c r="U35" i="4"/>
  <c r="V35" i="4"/>
  <c r="W35" i="4"/>
  <c r="B29" i="2"/>
  <c r="N36" i="4"/>
  <c r="N35" i="4"/>
  <c r="P29" i="4"/>
  <c r="Q29" i="4"/>
  <c r="R29" i="4"/>
  <c r="S29" i="4"/>
  <c r="T29" i="4"/>
  <c r="U29" i="4"/>
  <c r="V29" i="4"/>
  <c r="W29" i="4"/>
  <c r="B23" i="2"/>
  <c r="N30" i="4"/>
  <c r="N29" i="4"/>
  <c r="P23" i="4"/>
  <c r="Q23" i="4"/>
  <c r="R23" i="4"/>
  <c r="S23" i="4"/>
  <c r="T23" i="4"/>
  <c r="U23" i="4"/>
  <c r="V23" i="4"/>
  <c r="W23" i="4"/>
  <c r="B17" i="2"/>
  <c r="N24" i="4"/>
  <c r="N23" i="4"/>
  <c r="P17" i="4"/>
  <c r="Q17" i="4"/>
  <c r="R17" i="4"/>
  <c r="S17" i="4"/>
  <c r="T17" i="4"/>
  <c r="U17" i="4"/>
  <c r="V17" i="4"/>
  <c r="W17" i="4"/>
  <c r="B11" i="2"/>
  <c r="N18" i="4"/>
  <c r="N17" i="4"/>
  <c r="V11" i="4"/>
  <c r="W11" i="4"/>
  <c r="P11" i="4"/>
  <c r="Q11" i="4"/>
  <c r="R11" i="4"/>
  <c r="S11" i="4"/>
  <c r="T11" i="4"/>
  <c r="U11" i="4"/>
  <c r="B5" i="2"/>
  <c r="N12" i="4"/>
  <c r="N11" i="4"/>
  <c r="Q3" i="2"/>
  <c r="Q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2" i="2"/>
  <c r="J81" i="4"/>
  <c r="J79" i="4"/>
  <c r="J77" i="4"/>
  <c r="J76" i="4"/>
  <c r="J74" i="4"/>
  <c r="J73" i="4"/>
  <c r="J72" i="4"/>
  <c r="J71" i="4"/>
  <c r="J63" i="4"/>
  <c r="J64" i="4"/>
  <c r="J65" i="4"/>
  <c r="J66" i="4"/>
  <c r="J67" i="4"/>
  <c r="J68" i="4"/>
  <c r="J69" i="4"/>
  <c r="J62" i="4"/>
  <c r="L39" i="3"/>
  <c r="K39" i="3"/>
  <c r="L37" i="3"/>
  <c r="K37" i="3"/>
  <c r="L35" i="3"/>
  <c r="K35" i="3"/>
  <c r="L34" i="3"/>
  <c r="K34" i="3"/>
  <c r="L32" i="3"/>
  <c r="K32" i="3"/>
  <c r="L31" i="3"/>
  <c r="K31" i="3"/>
  <c r="L30" i="3"/>
  <c r="K30" i="3"/>
  <c r="L29" i="3"/>
  <c r="K29" i="3"/>
  <c r="K21" i="3"/>
  <c r="L21" i="3"/>
  <c r="K22" i="3"/>
  <c r="L22" i="3"/>
  <c r="K23" i="3"/>
  <c r="L23" i="3"/>
  <c r="K24" i="3"/>
  <c r="L24" i="3"/>
  <c r="K25" i="3"/>
  <c r="L25" i="3"/>
  <c r="K26" i="3"/>
  <c r="L26" i="3"/>
  <c r="K27" i="3"/>
  <c r="L27" i="3"/>
  <c r="L20" i="3"/>
  <c r="K20" i="3"/>
  <c r="AW36" i="2"/>
  <c r="BO36" i="2"/>
  <c r="AW35" i="2"/>
  <c r="AW34" i="2"/>
  <c r="BO34" i="2"/>
  <c r="AW33" i="2"/>
  <c r="BO33" i="2"/>
  <c r="AW32" i="2"/>
  <c r="AW31" i="2"/>
  <c r="BO31" i="2"/>
  <c r="AW30" i="2"/>
  <c r="BO30" i="2"/>
  <c r="AW29" i="2"/>
  <c r="BO29" i="2"/>
  <c r="AW28" i="2"/>
  <c r="BO28" i="2"/>
  <c r="AW27" i="2"/>
  <c r="BO27" i="2"/>
  <c r="AW26" i="2"/>
  <c r="BO26" i="2"/>
  <c r="AW25" i="2"/>
  <c r="BO25" i="2"/>
  <c r="AW24" i="2"/>
  <c r="BO24" i="2"/>
  <c r="AW23" i="2"/>
  <c r="BO23" i="2"/>
  <c r="AW22" i="2"/>
  <c r="BO22" i="2"/>
  <c r="AW21" i="2"/>
  <c r="BO21" i="2"/>
  <c r="AW20" i="2"/>
  <c r="BO20" i="2"/>
  <c r="AW19" i="2"/>
  <c r="BO19" i="2"/>
  <c r="AW18" i="2"/>
  <c r="BO18" i="2"/>
  <c r="AW17" i="2"/>
  <c r="BG17" i="2"/>
  <c r="BO17" i="2"/>
  <c r="AW16" i="2"/>
  <c r="BO16" i="2"/>
  <c r="AW15" i="2"/>
  <c r="BO15" i="2"/>
  <c r="AW14" i="2"/>
  <c r="BO14" i="2"/>
  <c r="AW13" i="2"/>
  <c r="BO13" i="2"/>
  <c r="AW12" i="2"/>
  <c r="AW11" i="2"/>
  <c r="BO11" i="2"/>
  <c r="AW10" i="2"/>
  <c r="BO10" i="2"/>
  <c r="AW9" i="2"/>
  <c r="BO9" i="2"/>
  <c r="AW8" i="2"/>
  <c r="AW7" i="2"/>
  <c r="AW6" i="2"/>
  <c r="BO6" i="2"/>
  <c r="AW5" i="2"/>
  <c r="BG5" i="2"/>
  <c r="C62" i="3"/>
  <c r="C79" i="3"/>
  <c r="C80" i="3"/>
  <c r="C81" i="3"/>
  <c r="C61" i="3"/>
  <c r="C78" i="3"/>
  <c r="C77" i="3"/>
  <c r="C76" i="3"/>
  <c r="C75" i="3"/>
  <c r="C74" i="3"/>
  <c r="C73" i="3"/>
  <c r="C72" i="3"/>
  <c r="C71" i="3"/>
  <c r="C70" i="3"/>
  <c r="C69" i="3"/>
  <c r="C68" i="3"/>
  <c r="C67" i="3"/>
  <c r="C66" i="3"/>
  <c r="C65" i="3"/>
  <c r="C64" i="3"/>
  <c r="C63" i="3"/>
  <c r="A50" i="3"/>
  <c r="AJ37" i="2"/>
  <c r="BG6" i="2"/>
  <c r="BG10" i="2"/>
  <c r="BG11" i="2"/>
  <c r="BG13" i="2"/>
  <c r="BG14" i="2"/>
  <c r="BG15" i="2"/>
  <c r="BG16" i="2"/>
  <c r="BG18" i="2"/>
  <c r="BG19" i="2"/>
  <c r="BG20" i="2"/>
  <c r="BG21" i="2"/>
  <c r="BG23" i="2"/>
  <c r="BG24" i="2"/>
  <c r="BG25" i="2"/>
  <c r="BG26" i="2"/>
  <c r="BG27" i="2"/>
  <c r="BG28" i="2"/>
  <c r="BG29" i="2"/>
  <c r="BG30" i="2"/>
  <c r="BG31" i="2"/>
  <c r="BG33" i="2"/>
  <c r="BG34" i="2"/>
  <c r="C60" i="3"/>
  <c r="BO5" i="2"/>
  <c r="BG22" i="2"/>
  <c r="BG9" i="2"/>
  <c r="BG36" i="2"/>
  <c r="BO12" i="2"/>
  <c r="BG12" i="2"/>
  <c r="AI37" i="2"/>
  <c r="BO32" i="2"/>
  <c r="BG32" i="2"/>
  <c r="BO7" i="2"/>
  <c r="BG7" i="2"/>
  <c r="BO8" i="2"/>
  <c r="BG8" i="2"/>
  <c r="BO35" i="2"/>
  <c r="BG35" i="2"/>
  <c r="F77" i="18"/>
  <c r="F79" i="23"/>
  <c r="F79" i="19"/>
  <c r="F79" i="11"/>
  <c r="F78" i="23"/>
  <c r="F78" i="15"/>
  <c r="AI8" i="2"/>
  <c r="AK8" i="2"/>
  <c r="L4" i="22"/>
  <c r="L4" i="24"/>
  <c r="L3" i="19"/>
  <c r="L3" i="22"/>
  <c r="L48" i="9"/>
  <c r="AJ33" i="2"/>
  <c r="L48" i="10"/>
  <c r="L48" i="11"/>
  <c r="L49" i="15"/>
  <c r="L46" i="25"/>
  <c r="L47" i="25"/>
  <c r="L48" i="16"/>
  <c r="L48" i="17"/>
  <c r="L48" i="18"/>
  <c r="L48" i="19"/>
  <c r="L48" i="20"/>
  <c r="L48" i="21"/>
  <c r="L48" i="22"/>
  <c r="L48" i="25"/>
  <c r="W35" i="2"/>
  <c r="X35" i="2"/>
  <c r="F78" i="11"/>
  <c r="F77" i="10"/>
  <c r="F77" i="14"/>
  <c r="AJ23" i="2"/>
  <c r="V48" i="2"/>
  <c r="W48" i="2"/>
  <c r="V33" i="2"/>
  <c r="V31" i="2"/>
  <c r="V27" i="2"/>
  <c r="W27" i="2"/>
  <c r="V25" i="2"/>
  <c r="V23" i="2"/>
  <c r="V19" i="2"/>
  <c r="V17" i="2"/>
  <c r="Y17" i="2"/>
  <c r="V15" i="2"/>
  <c r="W15" i="2"/>
  <c r="V2" i="2"/>
  <c r="W2" i="2"/>
  <c r="AI34" i="2"/>
  <c r="V7" i="2"/>
  <c r="F78" i="19"/>
  <c r="F77" i="22"/>
  <c r="V49" i="2"/>
  <c r="W49" i="2"/>
  <c r="V47" i="2"/>
  <c r="V16" i="2"/>
  <c r="W19" i="2"/>
  <c r="X19" i="2"/>
  <c r="F76" i="12"/>
  <c r="X5" i="2"/>
  <c r="AI17" i="2"/>
  <c r="AI15" i="2"/>
  <c r="AK15" i="2"/>
  <c r="V46" i="2"/>
  <c r="W46" i="2"/>
  <c r="AI32" i="2"/>
  <c r="AI14" i="2"/>
  <c r="AJ36" i="2"/>
  <c r="V38" i="2"/>
  <c r="W38" i="2"/>
  <c r="V6" i="2"/>
  <c r="W6" i="2"/>
  <c r="L3" i="24"/>
  <c r="F79" i="15"/>
  <c r="L38" i="24"/>
  <c r="L38" i="13"/>
  <c r="L22" i="22"/>
  <c r="L22" i="25"/>
  <c r="L22" i="11"/>
  <c r="L22" i="9"/>
  <c r="L3" i="13"/>
  <c r="L38" i="25"/>
  <c r="L22" i="18"/>
  <c r="X11" i="2"/>
  <c r="L22" i="21"/>
  <c r="X43" i="2"/>
  <c r="L26" i="9"/>
  <c r="L18" i="9"/>
  <c r="L7" i="10"/>
  <c r="L7" i="11"/>
  <c r="L7" i="14"/>
  <c r="L10" i="16"/>
  <c r="L14" i="16"/>
  <c r="L18" i="16"/>
  <c r="L22" i="16"/>
  <c r="L26" i="16"/>
  <c r="L30" i="16"/>
  <c r="L34" i="16"/>
  <c r="L38" i="16"/>
  <c r="L10" i="17"/>
  <c r="L14" i="17"/>
  <c r="L18" i="17"/>
  <c r="L22" i="17"/>
  <c r="L26" i="17"/>
  <c r="L30" i="17"/>
  <c r="L38" i="17"/>
  <c r="L6" i="18"/>
  <c r="L14" i="18"/>
  <c r="L18" i="18"/>
  <c r="L26" i="18"/>
  <c r="L30" i="18"/>
  <c r="L34" i="18"/>
  <c r="L38" i="18"/>
  <c r="L6" i="19"/>
  <c r="L14" i="19"/>
  <c r="L22" i="19"/>
  <c r="L26" i="19"/>
  <c r="L30" i="19"/>
  <c r="L38" i="19"/>
  <c r="L6" i="20"/>
  <c r="L10" i="20"/>
  <c r="L14" i="20"/>
  <c r="L18" i="20"/>
  <c r="L22" i="20"/>
  <c r="L26" i="20"/>
  <c r="L30" i="20"/>
  <c r="L34" i="20"/>
  <c r="L38" i="20"/>
  <c r="L6" i="21"/>
  <c r="L10" i="21"/>
  <c r="L14" i="21"/>
  <c r="L18" i="21"/>
  <c r="L26" i="21"/>
  <c r="L30" i="21"/>
  <c r="L34" i="21"/>
  <c r="L38" i="21"/>
  <c r="L6" i="22"/>
  <c r="L14" i="22"/>
  <c r="L18" i="22"/>
  <c r="L26" i="22"/>
  <c r="L30" i="22"/>
  <c r="L34" i="22"/>
  <c r="L38" i="22"/>
  <c r="L10" i="23"/>
  <c r="L18" i="23"/>
  <c r="L26" i="23"/>
  <c r="L30" i="23"/>
  <c r="L38" i="23"/>
  <c r="V45" i="2"/>
  <c r="W45" i="2"/>
  <c r="V29" i="2"/>
  <c r="Z29" i="2"/>
  <c r="AJ20" i="2"/>
  <c r="V13" i="2"/>
  <c r="L21" i="13"/>
  <c r="L39" i="14"/>
  <c r="L48" i="23"/>
  <c r="L6" i="24"/>
  <c r="L7" i="25"/>
  <c r="L35" i="19"/>
  <c r="L21" i="19"/>
  <c r="L27" i="10"/>
  <c r="L21" i="18"/>
  <c r="L39" i="22"/>
  <c r="L17" i="21"/>
  <c r="L41" i="14"/>
  <c r="L45" i="14"/>
  <c r="L49" i="14"/>
  <c r="L3" i="17"/>
  <c r="L7" i="17"/>
  <c r="L3" i="18"/>
  <c r="L7" i="18"/>
  <c r="L7" i="19"/>
  <c r="L3" i="20"/>
  <c r="L7" i="20"/>
  <c r="L3" i="21"/>
  <c r="L7" i="21"/>
  <c r="L7" i="22"/>
  <c r="L10" i="25"/>
  <c r="L14" i="25"/>
  <c r="L26" i="25"/>
  <c r="L30" i="25"/>
  <c r="L34" i="25"/>
  <c r="AI25" i="2"/>
  <c r="L7" i="16"/>
  <c r="L24" i="25"/>
  <c r="L7" i="9"/>
  <c r="L45" i="10"/>
  <c r="L49" i="10"/>
  <c r="L41" i="11"/>
  <c r="L45" i="11"/>
  <c r="L41" i="13"/>
  <c r="L45" i="13"/>
  <c r="L10" i="14"/>
  <c r="L14" i="14"/>
  <c r="L18" i="14"/>
  <c r="L22" i="14"/>
  <c r="L26" i="14"/>
  <c r="L30" i="14"/>
  <c r="L34" i="14"/>
  <c r="L38" i="14"/>
  <c r="L7" i="23"/>
  <c r="L14" i="24"/>
  <c r="L18" i="24"/>
  <c r="L22" i="24"/>
  <c r="L26" i="24"/>
  <c r="L30" i="24"/>
  <c r="AI36" i="2"/>
  <c r="AK36" i="2"/>
  <c r="V37" i="2"/>
  <c r="Z37" i="2"/>
  <c r="V28" i="2"/>
  <c r="V21" i="2"/>
  <c r="L6" i="16"/>
  <c r="L46" i="9"/>
  <c r="L47" i="13"/>
  <c r="L6" i="14"/>
  <c r="L21" i="23"/>
  <c r="L8" i="25"/>
  <c r="L46" i="10"/>
  <c r="W39" i="2"/>
  <c r="X39" i="2"/>
  <c r="W23" i="2"/>
  <c r="X23" i="2"/>
  <c r="W7" i="2"/>
  <c r="X7" i="2"/>
  <c r="W47" i="2"/>
  <c r="X47" i="2"/>
  <c r="W42" i="2"/>
  <c r="X42" i="2"/>
  <c r="W31" i="2"/>
  <c r="X31" i="2"/>
  <c r="X15" i="2"/>
  <c r="F78" i="12"/>
  <c r="F78" i="16"/>
  <c r="F78" i="20"/>
  <c r="F78" i="24"/>
  <c r="F77" i="11"/>
  <c r="F77" i="15"/>
  <c r="F77" i="19"/>
  <c r="F77" i="23"/>
  <c r="AJ24" i="2"/>
  <c r="AJ21" i="2"/>
  <c r="AI20" i="2"/>
  <c r="AJ17" i="2"/>
  <c r="X46" i="2"/>
  <c r="L50" i="9"/>
  <c r="L50" i="14"/>
  <c r="L50" i="15"/>
  <c r="L12" i="16"/>
  <c r="L16" i="16"/>
  <c r="L20" i="16"/>
  <c r="L24" i="16"/>
  <c r="L28" i="16"/>
  <c r="L32" i="16"/>
  <c r="L36" i="16"/>
  <c r="L12" i="17"/>
  <c r="L16" i="17"/>
  <c r="L20" i="17"/>
  <c r="L32" i="17"/>
  <c r="L36" i="17"/>
  <c r="L12" i="18"/>
  <c r="L16" i="18"/>
  <c r="L20" i="18"/>
  <c r="L24" i="18"/>
  <c r="L28" i="18"/>
  <c r="L32" i="18"/>
  <c r="L36" i="18"/>
  <c r="L16" i="19"/>
  <c r="L20" i="19"/>
  <c r="L32" i="19"/>
  <c r="L12" i="20"/>
  <c r="L20" i="20"/>
  <c r="L24" i="20"/>
  <c r="L36" i="20"/>
  <c r="L16" i="21"/>
  <c r="L20" i="21"/>
  <c r="L28" i="21"/>
  <c r="L32" i="21"/>
  <c r="L12" i="22"/>
  <c r="L36" i="22"/>
  <c r="L12" i="23"/>
  <c r="L16" i="23"/>
  <c r="L20" i="23"/>
  <c r="L24" i="23"/>
  <c r="L28" i="23"/>
  <c r="L32" i="23"/>
  <c r="L36" i="23"/>
  <c r="L50" i="24"/>
  <c r="L43" i="25"/>
  <c r="L3" i="16"/>
  <c r="L3" i="9"/>
  <c r="F78" i="13"/>
  <c r="F78" i="17"/>
  <c r="F78" i="21"/>
  <c r="F78" i="25"/>
  <c r="F77" i="12"/>
  <c r="F77" i="16"/>
  <c r="F77" i="20"/>
  <c r="F77" i="24"/>
  <c r="AJ29" i="2"/>
  <c r="AK29" i="2"/>
  <c r="AI26" i="2"/>
  <c r="AI21" i="2"/>
  <c r="AI19" i="2"/>
  <c r="AJ11" i="2"/>
  <c r="AJ35" i="2"/>
  <c r="L50" i="10"/>
  <c r="L50" i="11"/>
  <c r="L50" i="13"/>
  <c r="L43" i="14"/>
  <c r="L47" i="14"/>
  <c r="L3" i="15"/>
  <c r="L43" i="15"/>
  <c r="L47" i="15"/>
  <c r="L12" i="25"/>
  <c r="L36" i="25"/>
  <c r="V34" i="2"/>
  <c r="Z34" i="2"/>
  <c r="V18" i="2"/>
  <c r="W18" i="2"/>
  <c r="AI12" i="2"/>
  <c r="F78" i="10"/>
  <c r="F78" i="14"/>
  <c r="F78" i="18"/>
  <c r="F78" i="22"/>
  <c r="F77" i="13"/>
  <c r="F77" i="17"/>
  <c r="F77" i="21"/>
  <c r="F77" i="25"/>
  <c r="AI23" i="2"/>
  <c r="AI11" i="2"/>
  <c r="L36" i="9"/>
  <c r="L32" i="9"/>
  <c r="L24" i="9"/>
  <c r="L20" i="9"/>
  <c r="L16" i="9"/>
  <c r="L12" i="9"/>
  <c r="AI35" i="2"/>
  <c r="AK35" i="2"/>
  <c r="L3" i="10"/>
  <c r="L43" i="10"/>
  <c r="L47" i="10"/>
  <c r="L3" i="11"/>
  <c r="L43" i="11"/>
  <c r="L47" i="11"/>
  <c r="L43" i="13"/>
  <c r="L16" i="14"/>
  <c r="L20" i="14"/>
  <c r="L24" i="14"/>
  <c r="L28" i="14"/>
  <c r="L32" i="14"/>
  <c r="L16" i="15"/>
  <c r="L20" i="15"/>
  <c r="L24" i="15"/>
  <c r="L32" i="15"/>
  <c r="L50" i="16"/>
  <c r="L50" i="17"/>
  <c r="L50" i="18"/>
  <c r="L50" i="20"/>
  <c r="L50" i="22"/>
  <c r="L50" i="23"/>
  <c r="L12" i="24"/>
  <c r="L16" i="24"/>
  <c r="L20" i="24"/>
  <c r="L24" i="24"/>
  <c r="L32" i="24"/>
  <c r="L36" i="24"/>
  <c r="L41" i="25"/>
  <c r="L3" i="14"/>
  <c r="W41" i="2"/>
  <c r="X41" i="2"/>
  <c r="W33" i="2"/>
  <c r="X33" i="2"/>
  <c r="W28" i="2"/>
  <c r="X28" i="2"/>
  <c r="Z28" i="2"/>
  <c r="W25" i="2"/>
  <c r="X25" i="2"/>
  <c r="X17" i="2"/>
  <c r="Z48" i="2"/>
  <c r="W40" i="2"/>
  <c r="X40" i="2"/>
  <c r="Z40" i="2"/>
  <c r="W32" i="2"/>
  <c r="X32" i="2"/>
  <c r="Z32" i="2"/>
  <c r="X29" i="2"/>
  <c r="W24" i="2"/>
  <c r="X24" i="2"/>
  <c r="Z24" i="2"/>
  <c r="W21" i="2"/>
  <c r="X21" i="2"/>
  <c r="W16" i="2"/>
  <c r="X16" i="2"/>
  <c r="Z16" i="2"/>
  <c r="W13" i="2"/>
  <c r="X13" i="2"/>
  <c r="AI30" i="2"/>
  <c r="AK30" i="2"/>
  <c r="AI28" i="2"/>
  <c r="AK28" i="2"/>
  <c r="AJ22" i="2"/>
  <c r="AJ19" i="2"/>
  <c r="AI16" i="2"/>
  <c r="AK16" i="2"/>
  <c r="X26" i="2"/>
  <c r="X10" i="2"/>
  <c r="AI33" i="2"/>
  <c r="AK33" i="2"/>
  <c r="Z46" i="2"/>
  <c r="Z30" i="2"/>
  <c r="Z22" i="2"/>
  <c r="Z6" i="2"/>
  <c r="F76" i="25"/>
  <c r="X6" i="2"/>
  <c r="F76" i="20"/>
  <c r="AJ31" i="2"/>
  <c r="AJ27" i="2"/>
  <c r="AK27" i="2"/>
  <c r="AJ25" i="2"/>
  <c r="AI24" i="2"/>
  <c r="AJ13" i="2"/>
  <c r="AJ10" i="2"/>
  <c r="X22" i="2"/>
  <c r="V44" i="2"/>
  <c r="Y44" i="2"/>
  <c r="V36" i="2"/>
  <c r="Y36" i="2"/>
  <c r="V20" i="2"/>
  <c r="Y20" i="2"/>
  <c r="V12" i="2"/>
  <c r="V8" i="2"/>
  <c r="X8" i="2"/>
  <c r="V4" i="2"/>
  <c r="Y4" i="2"/>
  <c r="AI5" i="2"/>
  <c r="F76" i="18"/>
  <c r="X30" i="2"/>
  <c r="Z42" i="2"/>
  <c r="Z26" i="2"/>
  <c r="Z10" i="2"/>
  <c r="F76" i="19"/>
  <c r="F79" i="20"/>
  <c r="F77" i="9"/>
  <c r="F76" i="15"/>
  <c r="F76" i="22"/>
  <c r="F79" i="16"/>
  <c r="F76" i="17"/>
  <c r="F76" i="13"/>
  <c r="F76" i="23"/>
  <c r="F76" i="24"/>
  <c r="F79" i="13"/>
  <c r="F79" i="17"/>
  <c r="F79" i="21"/>
  <c r="F79" i="25"/>
  <c r="F79" i="9"/>
  <c r="L3" i="23"/>
  <c r="F76" i="11"/>
  <c r="F79" i="12"/>
  <c r="F79" i="24"/>
  <c r="F76" i="21"/>
  <c r="F76" i="14"/>
  <c r="F76" i="16"/>
  <c r="F79" i="14"/>
  <c r="F79" i="18"/>
  <c r="F79" i="22"/>
  <c r="F76" i="9"/>
  <c r="F79" i="10"/>
  <c r="F78" i="9"/>
  <c r="F76" i="10"/>
  <c r="L43" i="19"/>
  <c r="L50" i="19"/>
  <c r="L16" i="20"/>
  <c r="L47" i="20"/>
  <c r="L24" i="21"/>
  <c r="L28" i="22"/>
  <c r="L32" i="22"/>
  <c r="L49" i="22"/>
  <c r="L43" i="23"/>
  <c r="L45" i="24"/>
  <c r="L49" i="24"/>
  <c r="L16" i="25"/>
  <c r="L20" i="25"/>
  <c r="Y46" i="2"/>
  <c r="Y42" i="2"/>
  <c r="Y40" i="2"/>
  <c r="Y32" i="2"/>
  <c r="Y30" i="2"/>
  <c r="Y28" i="2"/>
  <c r="Y26" i="2"/>
  <c r="Y24" i="2"/>
  <c r="Y22" i="2"/>
  <c r="Y16" i="2"/>
  <c r="Y10" i="2"/>
  <c r="Y6" i="2"/>
  <c r="L47" i="23"/>
  <c r="L43" i="24"/>
  <c r="Z47" i="2"/>
  <c r="Z45" i="2"/>
  <c r="Z43" i="2"/>
  <c r="Z41" i="2"/>
  <c r="Z39" i="2"/>
  <c r="Z35" i="2"/>
  <c r="Z33" i="2"/>
  <c r="Z31" i="2"/>
  <c r="Z25" i="2"/>
  <c r="Z23" i="2"/>
  <c r="Z21" i="2"/>
  <c r="Z19" i="2"/>
  <c r="Z15" i="2"/>
  <c r="Z13" i="2"/>
  <c r="Z11" i="2"/>
  <c r="Z7" i="2"/>
  <c r="Z5" i="2"/>
  <c r="L3" i="25"/>
  <c r="L47" i="18"/>
  <c r="L24" i="19"/>
  <c r="L32" i="20"/>
  <c r="L36" i="21"/>
  <c r="L43" i="21"/>
  <c r="L50" i="21"/>
  <c r="L16" i="22"/>
  <c r="L20" i="22"/>
  <c r="L47" i="22"/>
  <c r="L41" i="23"/>
  <c r="L47" i="24"/>
  <c r="L32" i="25"/>
  <c r="L45" i="25"/>
  <c r="L49" i="25"/>
  <c r="AJ6" i="2"/>
  <c r="Y47" i="2"/>
  <c r="Y43" i="2"/>
  <c r="Y41" i="2"/>
  <c r="Y39" i="2"/>
  <c r="Y35" i="2"/>
  <c r="Y33" i="2"/>
  <c r="Y31" i="2"/>
  <c r="Y27" i="2"/>
  <c r="Y25" i="2"/>
  <c r="Y23" i="2"/>
  <c r="Y21" i="2"/>
  <c r="Y19" i="2"/>
  <c r="Y15" i="2"/>
  <c r="Y13" i="2"/>
  <c r="Y11" i="2"/>
  <c r="Y7" i="2"/>
  <c r="Y5" i="2"/>
  <c r="Y2" i="2"/>
  <c r="X2" i="2"/>
  <c r="Z2" i="2"/>
  <c r="Y45" i="2"/>
  <c r="Z49" i="2"/>
  <c r="X48" i="2"/>
  <c r="X49" i="2"/>
  <c r="Y48" i="2"/>
  <c r="Y49" i="2"/>
  <c r="Z17" i="2"/>
  <c r="W17" i="2"/>
  <c r="X27" i="2"/>
  <c r="Z27" i="2"/>
  <c r="Y38" i="2"/>
  <c r="W29" i="2"/>
  <c r="X37" i="2"/>
  <c r="X38" i="2"/>
  <c r="Z38" i="2"/>
  <c r="W37" i="2"/>
  <c r="Y29" i="2"/>
  <c r="Y37" i="2"/>
  <c r="X45" i="2"/>
  <c r="Y34" i="2"/>
  <c r="W34" i="2"/>
  <c r="X34" i="2"/>
  <c r="Y18" i="2"/>
  <c r="Z18" i="2"/>
  <c r="X18" i="2"/>
  <c r="Z20" i="2"/>
  <c r="W12" i="2"/>
  <c r="Z12" i="2"/>
  <c r="X12" i="2"/>
  <c r="Y12" i="2"/>
  <c r="W4" i="2"/>
  <c r="X4" i="2"/>
  <c r="Z4" i="2"/>
  <c r="W36" i="2"/>
  <c r="Z36" i="2"/>
  <c r="X36" i="2"/>
  <c r="W44" i="2"/>
  <c r="Z44" i="2"/>
  <c r="X44" i="2"/>
  <c r="Q33" i="21"/>
  <c r="Q33" i="17"/>
  <c r="Q33" i="15"/>
  <c r="Q33" i="12"/>
  <c r="Q33" i="24"/>
  <c r="Q33" i="22"/>
  <c r="Q33" i="23"/>
  <c r="Q33" i="19"/>
  <c r="Q33" i="25"/>
  <c r="Q33" i="20"/>
  <c r="Q33" i="10"/>
  <c r="Q33" i="16"/>
  <c r="Q33" i="13"/>
  <c r="Q33" i="11"/>
  <c r="Q33" i="18"/>
  <c r="Q33" i="14"/>
  <c r="Q33" i="9"/>
  <c r="Q39" i="25"/>
  <c r="Q39" i="20"/>
  <c r="Q39" i="16"/>
  <c r="Q39" i="14"/>
  <c r="Q39" i="11"/>
  <c r="Q39" i="21"/>
  <c r="Q39" i="24"/>
  <c r="Q39" i="22"/>
  <c r="Q39" i="18"/>
  <c r="Q39" i="13"/>
  <c r="Q39" i="23"/>
  <c r="Q39" i="19"/>
  <c r="Q39" i="15"/>
  <c r="Q39" i="9"/>
  <c r="Q39" i="10"/>
  <c r="Q39" i="12"/>
  <c r="Q39" i="17"/>
  <c r="Q9" i="21"/>
  <c r="Q9" i="17"/>
  <c r="Q9" i="15"/>
  <c r="Q9" i="12"/>
  <c r="Q9" i="24"/>
  <c r="Q9" i="22"/>
  <c r="Q9" i="23"/>
  <c r="Q9" i="19"/>
  <c r="Q9" i="25"/>
  <c r="Q9" i="20"/>
  <c r="Q9" i="18"/>
  <c r="Q9" i="14"/>
  <c r="Q9" i="10"/>
  <c r="Q9" i="11"/>
  <c r="Q9" i="16"/>
  <c r="Q9" i="13"/>
  <c r="Q9" i="9"/>
  <c r="Q15" i="25"/>
  <c r="Q15" i="20"/>
  <c r="Q15" i="16"/>
  <c r="Q15" i="14"/>
  <c r="Q15" i="21"/>
  <c r="Q15" i="24"/>
  <c r="Q15" i="22"/>
  <c r="Q15" i="18"/>
  <c r="Q15" i="13"/>
  <c r="Q15" i="23"/>
  <c r="Q15" i="9"/>
  <c r="Q15" i="17"/>
  <c r="Q15" i="12"/>
  <c r="Q15" i="10"/>
  <c r="Q15" i="19"/>
  <c r="Q15" i="15"/>
  <c r="Q15" i="11"/>
  <c r="Q45" i="23"/>
  <c r="Q45" i="19"/>
  <c r="Q45" i="25"/>
  <c r="Q45" i="21"/>
  <c r="Q45" i="17"/>
  <c r="Q45" i="15"/>
  <c r="Q45" i="12"/>
  <c r="Q45" i="24"/>
  <c r="Q45" i="22"/>
  <c r="Q45" i="20"/>
  <c r="Q45" i="16"/>
  <c r="Q45" i="13"/>
  <c r="Q45" i="11"/>
  <c r="Q45" i="18"/>
  <c r="Q45" i="14"/>
  <c r="Q45" i="9"/>
  <c r="Q45" i="10"/>
  <c r="Q27" i="24"/>
  <c r="Q27" i="22"/>
  <c r="Q27" i="18"/>
  <c r="Q27" i="13"/>
  <c r="Q27" i="23"/>
  <c r="Q27" i="25"/>
  <c r="Q27" i="20"/>
  <c r="Q27" i="16"/>
  <c r="Q27" i="14"/>
  <c r="Q27" i="21"/>
  <c r="Q27" i="17"/>
  <c r="Q27" i="11"/>
  <c r="Q27" i="19"/>
  <c r="Q27" i="15"/>
  <c r="Q27" i="9"/>
  <c r="Q27" i="12"/>
  <c r="Q27" i="10"/>
  <c r="Q21" i="23"/>
  <c r="Q21" i="19"/>
  <c r="Q21" i="25"/>
  <c r="Q21" i="21"/>
  <c r="Q21" i="17"/>
  <c r="Q21" i="15"/>
  <c r="Q21" i="24"/>
  <c r="Q21" i="22"/>
  <c r="Q21" i="20"/>
  <c r="Q21" i="9"/>
  <c r="Q21" i="16"/>
  <c r="Q21" i="13"/>
  <c r="Q21" i="12"/>
  <c r="Q21" i="10"/>
  <c r="Q21" i="18"/>
  <c r="Q21" i="14"/>
  <c r="Q21" i="11"/>
  <c r="Q3" i="20"/>
  <c r="Q3" i="15"/>
  <c r="Q3" i="21"/>
  <c r="Q3" i="14"/>
  <c r="Q3" i="13"/>
  <c r="Q3" i="25"/>
  <c r="Q3" i="9"/>
  <c r="Q3" i="12"/>
  <c r="Q3" i="22"/>
  <c r="Q3" i="23"/>
  <c r="Q3" i="24"/>
  <c r="Q3" i="19"/>
  <c r="Q3" i="11"/>
  <c r="Q3" i="18"/>
  <c r="Q3" i="10"/>
  <c r="Q3" i="17"/>
  <c r="Q3" i="16"/>
  <c r="L10" i="28"/>
  <c r="Y10" i="28"/>
  <c r="V3" i="2"/>
  <c r="AI7" i="2"/>
  <c r="AK7" i="2"/>
  <c r="L4" i="28"/>
  <c r="L4" i="14"/>
  <c r="L4" i="12"/>
  <c r="L4" i="23"/>
  <c r="L9" i="23"/>
  <c r="L4" i="16"/>
  <c r="L4" i="18"/>
  <c r="L4" i="13"/>
  <c r="L9" i="13"/>
  <c r="L9" i="25"/>
  <c r="L9" i="21"/>
  <c r="L9" i="22"/>
  <c r="L9" i="12"/>
  <c r="L9" i="17"/>
  <c r="L9" i="15"/>
  <c r="Z8" i="2"/>
  <c r="Y8" i="2"/>
  <c r="L9" i="19"/>
  <c r="L9" i="9"/>
  <c r="L9" i="10"/>
  <c r="L9" i="14"/>
  <c r="W8" i="2"/>
  <c r="L9" i="18"/>
  <c r="E72" i="4"/>
  <c r="L9" i="16"/>
  <c r="Y9" i="2"/>
  <c r="Z9" i="2"/>
  <c r="W9" i="2"/>
  <c r="X9" i="2"/>
  <c r="AJ12" i="2"/>
  <c r="AK12" i="2"/>
  <c r="L9" i="20"/>
  <c r="L9" i="24"/>
  <c r="Y3" i="2"/>
  <c r="X3" i="2"/>
  <c r="W3" i="2"/>
  <c r="Z3" i="2"/>
  <c r="AK5" i="2"/>
  <c r="Y16" i="28"/>
  <c r="L16" i="28"/>
  <c r="AK23" i="2"/>
  <c r="L21" i="28"/>
  <c r="I73" i="4"/>
  <c r="O63" i="2"/>
  <c r="I71" i="4"/>
  <c r="L21" i="14"/>
  <c r="W20" i="2"/>
  <c r="AK34" i="2"/>
  <c r="Y21" i="28"/>
  <c r="AK21" i="2"/>
  <c r="X20" i="2"/>
  <c r="AK22" i="2"/>
  <c r="AK18" i="2"/>
  <c r="AK6" i="2"/>
  <c r="AK13" i="2"/>
  <c r="E79" i="4"/>
  <c r="I76" i="4"/>
  <c r="S64" i="2"/>
  <c r="L15" i="21"/>
  <c r="C15" i="7"/>
  <c r="E76" i="4"/>
  <c r="AJ14" i="2"/>
  <c r="AK14" i="2"/>
  <c r="L15" i="12"/>
  <c r="C5" i="7"/>
  <c r="E74" i="4"/>
  <c r="I77" i="4"/>
  <c r="E71" i="4"/>
  <c r="S58" i="2"/>
  <c r="I74" i="4"/>
  <c r="AK24" i="2"/>
  <c r="AK11" i="2"/>
  <c r="AK9" i="2"/>
  <c r="L15" i="15"/>
  <c r="C16" i="7"/>
  <c r="L15" i="16"/>
  <c r="L15" i="25"/>
  <c r="C10" i="7"/>
  <c r="AK10" i="2"/>
  <c r="E81" i="4"/>
  <c r="AK32" i="2"/>
  <c r="AK26" i="2"/>
  <c r="L15" i="10"/>
  <c r="L15" i="11"/>
  <c r="L15" i="17"/>
  <c r="C8" i="7"/>
  <c r="L15" i="19"/>
  <c r="C18" i="7"/>
  <c r="L15" i="22"/>
  <c r="C2" i="7"/>
  <c r="C12" i="7"/>
  <c r="AK31" i="2"/>
  <c r="C11" i="7"/>
  <c r="C14" i="7"/>
  <c r="I81" i="4"/>
  <c r="V14" i="2"/>
  <c r="Y14" i="2"/>
  <c r="AK17" i="2"/>
  <c r="AK37" i="2"/>
  <c r="Y15" i="28"/>
  <c r="C13" i="7"/>
  <c r="AK19" i="2"/>
  <c r="AK20" i="2"/>
  <c r="AK25" i="2"/>
  <c r="C4" i="7"/>
  <c r="C7" i="7"/>
  <c r="C9" i="7"/>
  <c r="C6" i="7"/>
  <c r="C17" i="7"/>
  <c r="C3" i="7"/>
  <c r="L15" i="28"/>
  <c r="E73" i="4"/>
  <c r="X14" i="2"/>
  <c r="W14" i="2"/>
  <c r="AF5" i="2"/>
  <c r="Z14" i="2"/>
  <c r="AH9" i="2"/>
  <c r="AH21" i="2"/>
  <c r="AH12" i="2"/>
  <c r="AH26" i="2"/>
  <c r="AH35" i="2"/>
  <c r="AH7" i="2"/>
  <c r="AH5" i="2"/>
  <c r="AH15" i="2"/>
  <c r="AH16" i="2"/>
  <c r="AH32" i="2"/>
  <c r="AH19" i="2"/>
  <c r="BS31" i="2"/>
  <c r="BT27" i="2"/>
  <c r="BR34" i="2"/>
  <c r="BS26" i="2"/>
  <c r="BR23" i="2"/>
  <c r="BT18" i="2"/>
  <c r="BT8" i="2"/>
  <c r="BT35" i="2"/>
  <c r="BS24" i="2"/>
  <c r="BS32" i="2"/>
  <c r="BS11" i="2"/>
  <c r="BR19" i="2"/>
  <c r="BS16" i="2"/>
  <c r="BT10" i="2"/>
  <c r="BS10" i="2"/>
  <c r="BS7" i="2"/>
  <c r="BT24" i="2"/>
  <c r="BR14" i="2"/>
  <c r="BR33" i="2"/>
  <c r="BT5" i="2"/>
  <c r="BS27" i="2"/>
  <c r="BS29" i="2"/>
  <c r="BR11" i="2"/>
  <c r="BR31" i="2"/>
  <c r="BT13" i="2"/>
  <c r="BT15" i="2"/>
  <c r="BR8" i="2"/>
  <c r="BS17" i="2"/>
  <c r="BS34" i="2"/>
  <c r="BS36" i="2"/>
  <c r="BS25" i="2"/>
  <c r="BS22" i="2"/>
  <c r="BR21" i="2"/>
  <c r="BR28" i="2"/>
  <c r="AH34" i="2"/>
  <c r="AH30" i="2"/>
  <c r="AH27" i="2"/>
  <c r="AH11" i="2"/>
  <c r="AH8" i="2"/>
  <c r="AH22" i="2"/>
  <c r="BR9" i="2"/>
  <c r="BR29" i="2"/>
  <c r="BT26" i="2"/>
  <c r="BT23" i="2"/>
  <c r="BT12" i="2"/>
  <c r="BT22" i="2"/>
  <c r="BS9" i="2"/>
  <c r="BR17" i="2"/>
  <c r="BR27" i="2"/>
  <c r="BR20" i="2"/>
  <c r="BT25" i="2"/>
  <c r="BS6" i="2"/>
  <c r="BT20" i="2"/>
  <c r="BS12" i="2"/>
  <c r="BS18" i="2"/>
  <c r="BS33" i="2"/>
  <c r="BT17" i="2"/>
  <c r="BT9" i="2"/>
  <c r="BR36" i="2"/>
  <c r="BR13" i="2"/>
  <c r="BS20" i="2"/>
  <c r="BS13" i="2"/>
  <c r="BR18" i="2"/>
  <c r="BR16" i="2"/>
  <c r="BR5" i="2"/>
  <c r="BT34" i="2"/>
  <c r="BR32" i="2"/>
  <c r="BT33" i="2"/>
  <c r="BT31" i="2"/>
  <c r="BR35" i="2"/>
  <c r="BS5" i="2"/>
  <c r="BS21" i="2"/>
  <c r="BT36" i="2"/>
  <c r="BR12" i="2"/>
  <c r="AH6" i="2"/>
  <c r="AH17" i="2"/>
  <c r="AH29" i="2"/>
  <c r="AH10" i="2"/>
  <c r="BS35" i="2"/>
  <c r="BT28" i="2"/>
  <c r="BS8" i="2"/>
  <c r="BT29" i="2"/>
  <c r="BS23" i="2"/>
  <c r="BT14" i="2"/>
  <c r="BS30" i="2"/>
  <c r="BR15" i="2"/>
  <c r="BT16" i="2"/>
  <c r="BS28" i="2"/>
  <c r="BT11" i="2"/>
  <c r="BT6" i="2"/>
  <c r="AH31" i="2"/>
  <c r="AH24" i="2"/>
  <c r="BS19" i="2"/>
  <c r="BT32" i="2"/>
  <c r="BS14" i="2"/>
  <c r="BR6" i="2"/>
  <c r="BT7" i="2"/>
  <c r="BR22" i="2"/>
  <c r="BT30" i="2"/>
  <c r="AH25" i="2"/>
  <c r="BR30" i="2"/>
  <c r="BR24" i="2"/>
  <c r="BR10" i="2"/>
  <c r="BR25" i="2"/>
  <c r="BT21" i="2"/>
  <c r="BT19" i="2"/>
  <c r="BR26" i="2"/>
  <c r="BS15" i="2"/>
  <c r="BR7" i="2"/>
  <c r="AG33" i="2"/>
  <c r="AG23" i="2"/>
  <c r="AG19" i="2"/>
  <c r="AG20" i="2"/>
  <c r="AG9" i="2"/>
  <c r="AG30" i="2"/>
  <c r="AG11" i="2"/>
  <c r="AG32" i="2"/>
  <c r="AG8" i="2"/>
  <c r="AG34" i="2"/>
  <c r="AG7" i="2"/>
  <c r="AG17" i="2"/>
  <c r="AG16" i="2"/>
  <c r="AG24" i="2"/>
  <c r="AG35" i="2"/>
  <c r="AG5" i="2"/>
  <c r="AG12" i="2"/>
  <c r="AG18" i="2"/>
  <c r="AG13" i="2"/>
  <c r="AG36" i="2"/>
  <c r="AG27" i="2"/>
  <c r="AG21" i="2"/>
  <c r="AG6" i="2"/>
  <c r="AG14" i="2"/>
  <c r="AG28" i="2"/>
  <c r="AG26" i="2"/>
  <c r="AG29" i="2"/>
  <c r="AG31" i="2"/>
  <c r="AG22" i="2"/>
  <c r="AG25" i="2"/>
  <c r="AG15" i="2"/>
  <c r="AG10" i="2"/>
  <c r="AF26" i="2"/>
  <c r="AF21" i="2"/>
  <c r="AF27" i="2"/>
  <c r="AF20" i="2"/>
  <c r="AF32" i="2"/>
  <c r="AF25" i="2"/>
  <c r="AF31" i="2"/>
  <c r="AF14" i="2"/>
  <c r="AF12" i="2"/>
  <c r="AF17" i="2"/>
  <c r="AF8" i="2"/>
  <c r="AF10" i="2"/>
  <c r="AF19" i="2"/>
  <c r="AF11" i="2"/>
  <c r="AF7" i="2"/>
  <c r="AF6" i="2"/>
  <c r="AH28" i="2"/>
  <c r="AF28" i="2"/>
  <c r="AF36" i="2"/>
  <c r="AF9" i="2"/>
  <c r="AD9" i="2"/>
  <c r="AM9" i="2"/>
  <c r="AF16" i="2"/>
  <c r="AD16" i="2"/>
  <c r="AM16" i="2"/>
  <c r="AR16" i="2"/>
  <c r="AF24" i="2"/>
  <c r="AF35" i="2"/>
  <c r="AE35" i="2"/>
  <c r="AH14" i="2"/>
  <c r="AD14" i="2"/>
  <c r="AM14" i="2"/>
  <c r="AR14" i="2"/>
  <c r="AH36" i="2"/>
  <c r="AE36" i="2"/>
  <c r="AF22" i="2"/>
  <c r="AF29" i="2"/>
  <c r="AD29" i="2"/>
  <c r="AM29" i="2"/>
  <c r="AF30" i="2"/>
  <c r="AD30" i="2"/>
  <c r="AM30" i="2"/>
  <c r="AR30" i="2"/>
  <c r="AF18" i="2"/>
  <c r="AF15" i="2"/>
  <c r="AF23" i="2"/>
  <c r="AF33" i="2"/>
  <c r="AF13" i="2"/>
  <c r="AH13" i="2"/>
  <c r="AD13" i="2"/>
  <c r="AM13" i="2"/>
  <c r="AF34" i="2"/>
  <c r="AH20" i="2"/>
  <c r="AD20" i="2"/>
  <c r="AM20" i="2"/>
  <c r="AR20" i="2"/>
  <c r="AH33" i="2"/>
  <c r="AH18" i="2"/>
  <c r="AD18" i="2"/>
  <c r="AM18" i="2"/>
  <c r="AR18" i="2"/>
  <c r="AH23" i="2"/>
  <c r="AD5" i="2"/>
  <c r="AM5" i="2"/>
  <c r="AE5" i="2"/>
  <c r="BQ13" i="2"/>
  <c r="BP13" i="2"/>
  <c r="BP17" i="2"/>
  <c r="BQ17" i="2"/>
  <c r="AE6" i="2"/>
  <c r="AD6" i="2"/>
  <c r="AM6" i="2"/>
  <c r="AR6" i="2"/>
  <c r="AD11" i="2"/>
  <c r="AM11" i="2"/>
  <c r="AR11" i="2"/>
  <c r="AE11" i="2"/>
  <c r="AD10" i="2"/>
  <c r="AM10" i="2"/>
  <c r="AR10" i="2"/>
  <c r="AE10" i="2"/>
  <c r="AD17" i="2"/>
  <c r="AM17" i="2"/>
  <c r="AE17" i="2"/>
  <c r="AE25" i="2"/>
  <c r="AD25" i="2"/>
  <c r="AM25" i="2"/>
  <c r="AE20" i="2"/>
  <c r="AD21" i="2"/>
  <c r="AM21" i="2"/>
  <c r="AE21" i="2"/>
  <c r="BQ26" i="2"/>
  <c r="BP26" i="2"/>
  <c r="BP10" i="2"/>
  <c r="BQ10" i="2"/>
  <c r="BP32" i="2"/>
  <c r="BQ32" i="2"/>
  <c r="BQ18" i="2"/>
  <c r="BP18" i="2"/>
  <c r="BP36" i="2"/>
  <c r="BQ36" i="2"/>
  <c r="BP8" i="2"/>
  <c r="BQ8" i="2"/>
  <c r="BP11" i="2"/>
  <c r="BQ11" i="2"/>
  <c r="BP33" i="2"/>
  <c r="BQ33" i="2"/>
  <c r="BP34" i="2"/>
  <c r="BQ34" i="2"/>
  <c r="AE30" i="2"/>
  <c r="AD23" i="2"/>
  <c r="AM23" i="2"/>
  <c r="AR23" i="2"/>
  <c r="BQ25" i="2"/>
  <c r="BP25" i="2"/>
  <c r="AE7" i="2"/>
  <c r="AD7" i="2"/>
  <c r="AM7" i="2"/>
  <c r="AR7" i="2"/>
  <c r="AE19" i="2"/>
  <c r="AD19" i="2"/>
  <c r="AM19" i="2"/>
  <c r="AR19" i="2"/>
  <c r="AD8" i="2"/>
  <c r="AM8" i="2"/>
  <c r="AR8" i="2"/>
  <c r="AE8" i="2"/>
  <c r="AD12" i="2"/>
  <c r="AM12" i="2"/>
  <c r="AR12" i="2"/>
  <c r="AE12" i="2"/>
  <c r="AE31" i="2"/>
  <c r="AD31" i="2"/>
  <c r="AM31" i="2"/>
  <c r="AR31" i="2"/>
  <c r="AD32" i="2"/>
  <c r="AM32" i="2"/>
  <c r="AR32" i="2"/>
  <c r="AE32" i="2"/>
  <c r="AD27" i="2"/>
  <c r="AM27" i="2"/>
  <c r="AR27" i="2"/>
  <c r="AE27" i="2"/>
  <c r="AE26" i="2"/>
  <c r="AD26" i="2"/>
  <c r="AM26" i="2"/>
  <c r="AR26" i="2"/>
  <c r="BQ24" i="2"/>
  <c r="BP24" i="2"/>
  <c r="BQ22" i="2"/>
  <c r="BP22" i="2"/>
  <c r="BQ15" i="2"/>
  <c r="BP15" i="2"/>
  <c r="BP12" i="2"/>
  <c r="BQ12" i="2"/>
  <c r="BP35" i="2"/>
  <c r="BQ35" i="2"/>
  <c r="BQ20" i="2"/>
  <c r="BP20" i="2"/>
  <c r="BQ29" i="2"/>
  <c r="BP29" i="2"/>
  <c r="BP28" i="2"/>
  <c r="BQ28" i="2"/>
  <c r="BQ14" i="2"/>
  <c r="BP14" i="2"/>
  <c r="AE15" i="2"/>
  <c r="AD15" i="2"/>
  <c r="AM15" i="2"/>
  <c r="AR15" i="2"/>
  <c r="AE34" i="2"/>
  <c r="AD34" i="2"/>
  <c r="AM34" i="2"/>
  <c r="AR34" i="2"/>
  <c r="BP6" i="2"/>
  <c r="BQ6" i="2"/>
  <c r="BQ16" i="2"/>
  <c r="BP16" i="2"/>
  <c r="BP31" i="2"/>
  <c r="BQ31" i="2"/>
  <c r="BQ19" i="2"/>
  <c r="BP19" i="2"/>
  <c r="AE28" i="2"/>
  <c r="AD28" i="2"/>
  <c r="AM28" i="2"/>
  <c r="AR28" i="2"/>
  <c r="AD22" i="2"/>
  <c r="AM22" i="2"/>
  <c r="AR22" i="2"/>
  <c r="AE22" i="2"/>
  <c r="AE29" i="2"/>
  <c r="AE9" i="2"/>
  <c r="AD24" i="2"/>
  <c r="AM24" i="2"/>
  <c r="AR24" i="2"/>
  <c r="AE24" i="2"/>
  <c r="AD35" i="2"/>
  <c r="AM35" i="2"/>
  <c r="AR35" i="2"/>
  <c r="BP7" i="2"/>
  <c r="BQ7" i="2"/>
  <c r="BP30" i="2"/>
  <c r="BQ30" i="2"/>
  <c r="BP5" i="2"/>
  <c r="BQ5" i="2"/>
  <c r="BP27" i="2"/>
  <c r="BQ27" i="2"/>
  <c r="BP9" i="2"/>
  <c r="BQ9" i="2"/>
  <c r="BP21" i="2"/>
  <c r="BQ21" i="2"/>
  <c r="BP23" i="2"/>
  <c r="BQ23" i="2"/>
  <c r="AD36" i="2"/>
  <c r="AM36" i="2"/>
  <c r="AR36" i="2"/>
  <c r="AE23" i="2"/>
  <c r="AE18" i="2"/>
  <c r="AE13" i="2"/>
  <c r="AD33" i="2"/>
  <c r="AM33" i="2"/>
  <c r="AN35" i="2"/>
  <c r="AO35" i="2"/>
  <c r="AP35" i="2"/>
  <c r="AE14" i="2"/>
  <c r="AE16" i="2"/>
  <c r="AE33" i="2"/>
  <c r="AN22" i="2"/>
  <c r="AO22" i="2"/>
  <c r="AP22" i="2"/>
  <c r="AR21" i="2"/>
  <c r="AN23" i="2"/>
  <c r="AO23" i="2"/>
  <c r="AP23" i="2"/>
  <c r="AN24" i="2"/>
  <c r="AO24" i="2"/>
  <c r="AP24" i="2"/>
  <c r="AN21" i="2"/>
  <c r="AO21" i="2"/>
  <c r="AP21" i="2"/>
  <c r="AR17" i="2"/>
  <c r="AN18" i="2"/>
  <c r="AO18" i="2"/>
  <c r="AP18" i="2"/>
  <c r="AN17" i="2"/>
  <c r="AO17" i="2"/>
  <c r="AP17" i="2"/>
  <c r="AN19" i="2"/>
  <c r="AO19" i="2"/>
  <c r="AP19" i="2"/>
  <c r="AN20" i="2"/>
  <c r="AO20" i="2"/>
  <c r="AP20" i="2"/>
  <c r="AR5" i="2"/>
  <c r="AN8" i="2"/>
  <c r="AO8" i="2"/>
  <c r="AP8" i="2"/>
  <c r="AN7" i="2"/>
  <c r="AO7" i="2"/>
  <c r="AP7" i="2"/>
  <c r="AN6" i="2"/>
  <c r="AO6" i="2"/>
  <c r="AP6" i="2"/>
  <c r="AN5" i="2"/>
  <c r="AO5" i="2"/>
  <c r="AP5" i="2"/>
  <c r="AN12" i="2"/>
  <c r="AO12" i="2"/>
  <c r="AP12" i="2"/>
  <c r="AN10" i="2"/>
  <c r="AO10" i="2"/>
  <c r="AP10" i="2"/>
  <c r="AR9" i="2"/>
  <c r="AN9" i="2"/>
  <c r="AO9" i="2"/>
  <c r="AP9" i="2"/>
  <c r="AN11" i="2"/>
  <c r="AO11" i="2"/>
  <c r="AP11" i="2"/>
  <c r="AN34" i="2"/>
  <c r="AO34" i="2"/>
  <c r="AP34" i="2"/>
  <c r="AN33" i="2"/>
  <c r="AO33" i="2"/>
  <c r="AP33" i="2"/>
  <c r="AN36" i="2"/>
  <c r="AO36" i="2"/>
  <c r="AP36" i="2"/>
  <c r="AR25" i="2"/>
  <c r="AN26" i="2"/>
  <c r="AO26" i="2"/>
  <c r="AP26" i="2"/>
  <c r="AN25" i="2"/>
  <c r="AO25" i="2"/>
  <c r="AP25" i="2"/>
  <c r="AN27" i="2"/>
  <c r="AO27" i="2"/>
  <c r="AP27" i="2"/>
  <c r="AN28" i="2"/>
  <c r="AO28" i="2"/>
  <c r="AP28" i="2"/>
  <c r="AR29" i="2"/>
  <c r="AN29" i="2"/>
  <c r="AO29" i="2"/>
  <c r="AP29" i="2"/>
  <c r="AN32" i="2"/>
  <c r="AO32" i="2"/>
  <c r="AP32" i="2"/>
  <c r="AN30" i="2"/>
  <c r="AO30" i="2"/>
  <c r="AP30" i="2"/>
  <c r="AN31" i="2"/>
  <c r="AO31" i="2"/>
  <c r="AP31" i="2"/>
  <c r="AR13" i="2"/>
  <c r="AN13" i="2"/>
  <c r="AO13" i="2"/>
  <c r="AP13" i="2"/>
  <c r="AN15" i="2"/>
  <c r="AO15" i="2"/>
  <c r="AP15" i="2"/>
  <c r="AN14" i="2"/>
  <c r="AO14" i="2"/>
  <c r="AP14" i="2"/>
  <c r="AN16" i="2"/>
  <c r="AO16" i="2"/>
  <c r="AP16" i="2"/>
  <c r="AE53" i="2"/>
  <c r="AR33" i="2"/>
  <c r="AS36" i="2"/>
  <c r="C37" i="2"/>
  <c r="G37" i="2"/>
  <c r="S44" i="4"/>
  <c r="H37" i="2"/>
  <c r="T44" i="4"/>
  <c r="F37" i="2"/>
  <c r="J37" i="2"/>
  <c r="V44" i="4"/>
  <c r="I37" i="2"/>
  <c r="H8" i="2"/>
  <c r="T15" i="4"/>
  <c r="G8" i="2"/>
  <c r="S15" i="4"/>
  <c r="C8" i="2"/>
  <c r="J8" i="2"/>
  <c r="V15" i="4"/>
  <c r="I8" i="2"/>
  <c r="F8" i="2"/>
  <c r="G20" i="2"/>
  <c r="S27" i="4"/>
  <c r="C20" i="2"/>
  <c r="F20" i="2"/>
  <c r="J20" i="2"/>
  <c r="V27" i="4"/>
  <c r="I20" i="2"/>
  <c r="H20" i="2"/>
  <c r="T27" i="4"/>
  <c r="AS13" i="2"/>
  <c r="AS15" i="2"/>
  <c r="AS14" i="2"/>
  <c r="AS16" i="2"/>
  <c r="F43" i="2"/>
  <c r="J43" i="2"/>
  <c r="V50" i="4"/>
  <c r="H43" i="2"/>
  <c r="T50" i="4"/>
  <c r="I43" i="2"/>
  <c r="G43" i="2"/>
  <c r="S50" i="4"/>
  <c r="C43" i="2"/>
  <c r="AS32" i="2"/>
  <c r="AS29" i="2"/>
  <c r="AS31" i="2"/>
  <c r="AS30" i="2"/>
  <c r="AQ31" i="2"/>
  <c r="B43" i="2"/>
  <c r="N50" i="4"/>
  <c r="I36" i="2"/>
  <c r="J36" i="2"/>
  <c r="V43" i="4"/>
  <c r="H36" i="2"/>
  <c r="T43" i="4"/>
  <c r="C36" i="2"/>
  <c r="G36" i="2"/>
  <c r="S43" i="4"/>
  <c r="F36" i="2"/>
  <c r="I50" i="2"/>
  <c r="C50" i="2"/>
  <c r="J50" i="2"/>
  <c r="V57" i="4"/>
  <c r="G50" i="2"/>
  <c r="S57" i="4"/>
  <c r="F50" i="2"/>
  <c r="H50" i="2"/>
  <c r="T57" i="4"/>
  <c r="F48" i="2"/>
  <c r="G48" i="2"/>
  <c r="S55" i="4"/>
  <c r="C48" i="2"/>
  <c r="J48" i="2"/>
  <c r="V55" i="4"/>
  <c r="H48" i="2"/>
  <c r="T55" i="4"/>
  <c r="I48" i="2"/>
  <c r="AS11" i="2"/>
  <c r="AS9" i="2"/>
  <c r="AS12" i="2"/>
  <c r="AS10" i="2"/>
  <c r="AQ11" i="2"/>
  <c r="B13" i="2"/>
  <c r="N20" i="4"/>
  <c r="C6" i="2"/>
  <c r="H6" i="2"/>
  <c r="T13" i="4"/>
  <c r="F6" i="2"/>
  <c r="I6" i="2"/>
  <c r="G6" i="2"/>
  <c r="S13" i="4"/>
  <c r="J6" i="2"/>
  <c r="V13" i="4"/>
  <c r="J24" i="2"/>
  <c r="V31" i="4"/>
  <c r="G24" i="2"/>
  <c r="S31" i="4"/>
  <c r="H24" i="2"/>
  <c r="T31" i="4"/>
  <c r="F24" i="2"/>
  <c r="I24" i="2"/>
  <c r="D24" i="2"/>
  <c r="P31" i="4"/>
  <c r="C24" i="2"/>
  <c r="H31" i="2"/>
  <c r="T38" i="4"/>
  <c r="J31" i="2"/>
  <c r="V38" i="4"/>
  <c r="C31" i="2"/>
  <c r="F31" i="2"/>
  <c r="G31" i="2"/>
  <c r="S38" i="4"/>
  <c r="I31" i="2"/>
  <c r="G17" i="2"/>
  <c r="S24" i="4"/>
  <c r="F17" i="2"/>
  <c r="I17" i="2"/>
  <c r="C17" i="2"/>
  <c r="H17" i="2"/>
  <c r="T24" i="4"/>
  <c r="J17" i="2"/>
  <c r="V24" i="4"/>
  <c r="G49" i="2"/>
  <c r="S56" i="4"/>
  <c r="C49" i="2"/>
  <c r="I49" i="2"/>
  <c r="J49" i="2"/>
  <c r="V56" i="4"/>
  <c r="F49" i="2"/>
  <c r="H49" i="2"/>
  <c r="T56" i="4"/>
  <c r="G14" i="2"/>
  <c r="S21" i="4"/>
  <c r="J14" i="2"/>
  <c r="V21" i="4"/>
  <c r="C14" i="2"/>
  <c r="I14" i="2"/>
  <c r="F14" i="2"/>
  <c r="H14" i="2"/>
  <c r="T21" i="4"/>
  <c r="H29" i="2"/>
  <c r="T36" i="4"/>
  <c r="G29" i="2"/>
  <c r="S36" i="4"/>
  <c r="F29" i="2"/>
  <c r="C29" i="2"/>
  <c r="I29" i="2"/>
  <c r="J29" i="2"/>
  <c r="V36" i="4"/>
  <c r="I18" i="2"/>
  <c r="C18" i="2"/>
  <c r="F18" i="2"/>
  <c r="G18" i="2"/>
  <c r="S25" i="4"/>
  <c r="H18" i="2"/>
  <c r="T25" i="4"/>
  <c r="J18" i="2"/>
  <c r="V25" i="4"/>
  <c r="I19" i="2"/>
  <c r="C19" i="2"/>
  <c r="F19" i="2"/>
  <c r="H19" i="2"/>
  <c r="T26" i="4"/>
  <c r="J19" i="2"/>
  <c r="V26" i="4"/>
  <c r="G19" i="2"/>
  <c r="S26" i="4"/>
  <c r="J42" i="2"/>
  <c r="V49" i="4"/>
  <c r="C42" i="2"/>
  <c r="F42" i="2"/>
  <c r="H42" i="2"/>
  <c r="T49" i="4"/>
  <c r="I42" i="2"/>
  <c r="G42" i="2"/>
  <c r="S49" i="4"/>
  <c r="F38" i="2"/>
  <c r="G38" i="2"/>
  <c r="S45" i="4"/>
  <c r="I38" i="2"/>
  <c r="C38" i="2"/>
  <c r="H38" i="2"/>
  <c r="T45" i="4"/>
  <c r="J38" i="2"/>
  <c r="V45" i="4"/>
  <c r="AS27" i="2"/>
  <c r="AS28" i="2"/>
  <c r="AS25" i="2"/>
  <c r="AS26" i="2"/>
  <c r="AS33" i="2"/>
  <c r="AS34" i="2"/>
  <c r="AS35" i="2"/>
  <c r="C12" i="2"/>
  <c r="J12" i="2"/>
  <c r="V19" i="4"/>
  <c r="H12" i="2"/>
  <c r="T19" i="4"/>
  <c r="F12" i="2"/>
  <c r="I12" i="2"/>
  <c r="G12" i="2"/>
  <c r="S19" i="4"/>
  <c r="C7" i="2"/>
  <c r="F7" i="2"/>
  <c r="H7" i="2"/>
  <c r="T14" i="4"/>
  <c r="I7" i="2"/>
  <c r="J7" i="2"/>
  <c r="V14" i="4"/>
  <c r="G7" i="2"/>
  <c r="S14" i="4"/>
  <c r="I26" i="2"/>
  <c r="G26" i="2"/>
  <c r="S33" i="4"/>
  <c r="F26" i="2"/>
  <c r="D26" i="2"/>
  <c r="P33" i="4"/>
  <c r="J26" i="2"/>
  <c r="V33" i="4"/>
  <c r="C26" i="2"/>
  <c r="H26" i="2"/>
  <c r="T33" i="4"/>
  <c r="AS17" i="2"/>
  <c r="AS20" i="2"/>
  <c r="AS19" i="2"/>
  <c r="AS18" i="2"/>
  <c r="AS23" i="2"/>
  <c r="AS22" i="2"/>
  <c r="AS21" i="2"/>
  <c r="AS24" i="2"/>
  <c r="C30" i="2"/>
  <c r="H30" i="2"/>
  <c r="T37" i="4"/>
  <c r="G30" i="2"/>
  <c r="S37" i="4"/>
  <c r="F30" i="2"/>
  <c r="I30" i="2"/>
  <c r="J30" i="2"/>
  <c r="V37" i="4"/>
  <c r="I44" i="2"/>
  <c r="H44" i="2"/>
  <c r="T51" i="4"/>
  <c r="G44" i="2"/>
  <c r="S51" i="4"/>
  <c r="F44" i="2"/>
  <c r="J44" i="2"/>
  <c r="V51" i="4"/>
  <c r="C44" i="2"/>
  <c r="C13" i="2"/>
  <c r="J13" i="2"/>
  <c r="V20" i="4"/>
  <c r="G13" i="2"/>
  <c r="S20" i="4"/>
  <c r="H13" i="2"/>
  <c r="T20" i="4"/>
  <c r="I13" i="2"/>
  <c r="F13" i="2"/>
  <c r="F25" i="2"/>
  <c r="C25" i="2"/>
  <c r="D25" i="2"/>
  <c r="P32" i="4"/>
  <c r="J25" i="2"/>
  <c r="V32" i="4"/>
  <c r="G25" i="2"/>
  <c r="S32" i="4"/>
  <c r="H25" i="2"/>
  <c r="T32" i="4"/>
  <c r="I25" i="2"/>
  <c r="G41" i="2"/>
  <c r="S48" i="4"/>
  <c r="H41" i="2"/>
  <c r="T48" i="4"/>
  <c r="C41" i="2"/>
  <c r="I41" i="2"/>
  <c r="F41" i="2"/>
  <c r="J41" i="2"/>
  <c r="V48" i="4"/>
  <c r="F35" i="2"/>
  <c r="H35" i="2"/>
  <c r="T42" i="4"/>
  <c r="G35" i="2"/>
  <c r="S42" i="4"/>
  <c r="I35" i="2"/>
  <c r="J35" i="2"/>
  <c r="V42" i="4"/>
  <c r="C35" i="2"/>
  <c r="G47" i="2"/>
  <c r="S54" i="4"/>
  <c r="H47" i="2"/>
  <c r="T54" i="4"/>
  <c r="I47" i="2"/>
  <c r="F47" i="2"/>
  <c r="C47" i="2"/>
  <c r="J47" i="2"/>
  <c r="V54" i="4"/>
  <c r="F11" i="2"/>
  <c r="H11" i="2"/>
  <c r="T18" i="4"/>
  <c r="C11" i="2"/>
  <c r="I11" i="2"/>
  <c r="J11" i="2"/>
  <c r="V18" i="4"/>
  <c r="G11" i="2"/>
  <c r="S18" i="4"/>
  <c r="F5" i="2"/>
  <c r="I5" i="2"/>
  <c r="J5" i="2"/>
  <c r="V12" i="4"/>
  <c r="H5" i="2"/>
  <c r="T12" i="4"/>
  <c r="G5" i="2"/>
  <c r="S12" i="4"/>
  <c r="C5" i="2"/>
  <c r="AS6" i="2"/>
  <c r="AS5" i="2"/>
  <c r="AS8" i="2"/>
  <c r="AS7" i="2"/>
  <c r="G23" i="2"/>
  <c r="S30" i="4"/>
  <c r="D23" i="2"/>
  <c r="P30" i="4"/>
  <c r="H23" i="2"/>
  <c r="T30" i="4"/>
  <c r="I23" i="2"/>
  <c r="J23" i="2"/>
  <c r="V30" i="4"/>
  <c r="F23" i="2"/>
  <c r="C23" i="2"/>
  <c r="J32" i="2"/>
  <c r="V39" i="4"/>
  <c r="C32" i="2"/>
  <c r="I32" i="2"/>
  <c r="G32" i="2"/>
  <c r="S39" i="4"/>
  <c r="H32" i="2"/>
  <c r="T39" i="4"/>
  <c r="F32" i="2"/>
  <c r="AQ28" i="2"/>
  <c r="B38" i="2"/>
  <c r="N45" i="4"/>
  <c r="AQ7" i="2"/>
  <c r="B7" i="2"/>
  <c r="N14" i="4"/>
  <c r="AQ19" i="2"/>
  <c r="B25" i="2"/>
  <c r="N32" i="4"/>
  <c r="AQ36" i="2"/>
  <c r="B50" i="2"/>
  <c r="N57" i="4"/>
  <c r="AQ27" i="2"/>
  <c r="B37" i="2"/>
  <c r="N44" i="4"/>
  <c r="AQ26" i="2"/>
  <c r="B36" i="2"/>
  <c r="N43" i="4"/>
  <c r="AQ10" i="2"/>
  <c r="B12" i="2"/>
  <c r="N19" i="4"/>
  <c r="AQ16" i="2"/>
  <c r="B20" i="2"/>
  <c r="N27" i="4"/>
  <c r="AQ35" i="2"/>
  <c r="B49" i="2"/>
  <c r="N56" i="4"/>
  <c r="E83" i="3"/>
  <c r="O39" i="4"/>
  <c r="E11" i="2"/>
  <c r="R18" i="4"/>
  <c r="D11" i="2"/>
  <c r="P18" i="4"/>
  <c r="R42" i="4"/>
  <c r="D35" i="2"/>
  <c r="P42" i="4"/>
  <c r="E35" i="2"/>
  <c r="R33" i="4"/>
  <c r="E26" i="2"/>
  <c r="Q33" i="4"/>
  <c r="O14" i="4"/>
  <c r="E62" i="3"/>
  <c r="O21" i="4"/>
  <c r="E68" i="3"/>
  <c r="R15" i="4"/>
  <c r="D8" i="2"/>
  <c r="P15" i="4"/>
  <c r="E8" i="2"/>
  <c r="Q15" i="4"/>
  <c r="D37" i="2"/>
  <c r="P44" i="4"/>
  <c r="R44" i="4"/>
  <c r="E37" i="2"/>
  <c r="Q44" i="4"/>
  <c r="K23" i="2"/>
  <c r="W30" i="4"/>
  <c r="U30" i="4"/>
  <c r="AQ8" i="2"/>
  <c r="B8" i="2"/>
  <c r="N15" i="4"/>
  <c r="E60" i="3"/>
  <c r="O12" i="4"/>
  <c r="U12" i="4"/>
  <c r="K5" i="2"/>
  <c r="W12" i="4"/>
  <c r="U18" i="4"/>
  <c r="K11" i="2"/>
  <c r="W18" i="4"/>
  <c r="U42" i="4"/>
  <c r="K35" i="2"/>
  <c r="W42" i="4"/>
  <c r="R32" i="4"/>
  <c r="E25" i="2"/>
  <c r="Q32" i="4"/>
  <c r="K44" i="2"/>
  <c r="W51" i="4"/>
  <c r="U51" i="4"/>
  <c r="AQ22" i="2"/>
  <c r="B30" i="2"/>
  <c r="N37" i="4"/>
  <c r="AQ20" i="2"/>
  <c r="B26" i="2"/>
  <c r="N33" i="4"/>
  <c r="E78" i="3"/>
  <c r="O33" i="4"/>
  <c r="K7" i="2"/>
  <c r="W14" i="4"/>
  <c r="U14" i="4"/>
  <c r="E88" i="3"/>
  <c r="O45" i="4"/>
  <c r="E91" i="3"/>
  <c r="O49" i="4"/>
  <c r="E71" i="3"/>
  <c r="O25" i="4"/>
  <c r="E80" i="3"/>
  <c r="O36" i="4"/>
  <c r="E17" i="2"/>
  <c r="R24" i="4"/>
  <c r="D17" i="2"/>
  <c r="P24" i="4"/>
  <c r="R38" i="4"/>
  <c r="E31" i="2"/>
  <c r="Q38" i="4"/>
  <c r="D31" i="2"/>
  <c r="P38" i="4"/>
  <c r="O31" i="4"/>
  <c r="E76" i="3"/>
  <c r="O13" i="4"/>
  <c r="E61" i="3"/>
  <c r="AQ12" i="2"/>
  <c r="B14" i="2"/>
  <c r="N21" i="4"/>
  <c r="E96" i="3"/>
  <c r="O55" i="4"/>
  <c r="E50" i="2"/>
  <c r="Q57" i="4"/>
  <c r="D50" i="2"/>
  <c r="P57" i="4"/>
  <c r="R57" i="4"/>
  <c r="U57" i="4"/>
  <c r="K50" i="2"/>
  <c r="W57" i="4"/>
  <c r="AQ32" i="2"/>
  <c r="B44" i="2"/>
  <c r="N51" i="4"/>
  <c r="D43" i="2"/>
  <c r="P50" i="4"/>
  <c r="E43" i="2"/>
  <c r="Q50" i="4"/>
  <c r="R50" i="4"/>
  <c r="AQ14" i="2"/>
  <c r="B18" i="2"/>
  <c r="N25" i="4"/>
  <c r="D20" i="2"/>
  <c r="P27" i="4"/>
  <c r="E20" i="2"/>
  <c r="Q27" i="4"/>
  <c r="R27" i="4"/>
  <c r="K8" i="2"/>
  <c r="W15" i="4"/>
  <c r="U15" i="4"/>
  <c r="R39" i="4"/>
  <c r="E32" i="2"/>
  <c r="Q39" i="4"/>
  <c r="D32" i="2"/>
  <c r="P39" i="4"/>
  <c r="E90" i="3"/>
  <c r="O48" i="4"/>
  <c r="O32" i="4"/>
  <c r="E77" i="3"/>
  <c r="O51" i="4"/>
  <c r="E93" i="3"/>
  <c r="D30" i="2"/>
  <c r="P37" i="4"/>
  <c r="E30" i="2"/>
  <c r="Q37" i="4"/>
  <c r="R37" i="4"/>
  <c r="R45" i="4"/>
  <c r="E38" i="2"/>
  <c r="Q45" i="4"/>
  <c r="D38" i="2"/>
  <c r="P45" i="4"/>
  <c r="U26" i="4"/>
  <c r="K19" i="2"/>
  <c r="W26" i="4"/>
  <c r="U36" i="4"/>
  <c r="K29" i="2"/>
  <c r="W36" i="4"/>
  <c r="D49" i="2"/>
  <c r="P56" i="4"/>
  <c r="E49" i="2"/>
  <c r="Q56" i="4"/>
  <c r="R56" i="4"/>
  <c r="E24" i="2"/>
  <c r="Q31" i="4"/>
  <c r="R31" i="4"/>
  <c r="O57" i="4"/>
  <c r="E98" i="3"/>
  <c r="O43" i="4"/>
  <c r="E86" i="3"/>
  <c r="O50" i="4"/>
  <c r="E92" i="3"/>
  <c r="O30" i="4"/>
  <c r="E75" i="3"/>
  <c r="R12" i="4"/>
  <c r="E5" i="2"/>
  <c r="D5" i="2"/>
  <c r="P12" i="4"/>
  <c r="O18" i="4"/>
  <c r="E65" i="3"/>
  <c r="E95" i="3"/>
  <c r="O54" i="4"/>
  <c r="R48" i="4"/>
  <c r="D41" i="2"/>
  <c r="P48" i="4"/>
  <c r="E41" i="2"/>
  <c r="E13" i="2"/>
  <c r="Q20" i="4"/>
  <c r="R20" i="4"/>
  <c r="D13" i="2"/>
  <c r="P20" i="4"/>
  <c r="E44" i="2"/>
  <c r="Q51" i="4"/>
  <c r="D44" i="2"/>
  <c r="P51" i="4"/>
  <c r="R51" i="4"/>
  <c r="AQ23" i="2"/>
  <c r="B31" i="2"/>
  <c r="N38" i="4"/>
  <c r="K26" i="2"/>
  <c r="W33" i="4"/>
  <c r="U33" i="4"/>
  <c r="U19" i="4"/>
  <c r="K12" i="2"/>
  <c r="W19" i="4"/>
  <c r="O19" i="4"/>
  <c r="E66" i="3"/>
  <c r="AQ34" i="2"/>
  <c r="B48" i="2"/>
  <c r="N55" i="4"/>
  <c r="U45" i="4"/>
  <c r="K38" i="2"/>
  <c r="W45" i="4"/>
  <c r="U49" i="4"/>
  <c r="K42" i="2"/>
  <c r="W49" i="4"/>
  <c r="E19" i="2"/>
  <c r="Q26" i="4"/>
  <c r="D19" i="2"/>
  <c r="P26" i="4"/>
  <c r="R26" i="4"/>
  <c r="U25" i="4"/>
  <c r="K18" i="2"/>
  <c r="W25" i="4"/>
  <c r="R36" i="4"/>
  <c r="D29" i="2"/>
  <c r="P36" i="4"/>
  <c r="E29" i="2"/>
  <c r="E14" i="2"/>
  <c r="Q21" i="4"/>
  <c r="R21" i="4"/>
  <c r="D14" i="2"/>
  <c r="P21" i="4"/>
  <c r="U56" i="4"/>
  <c r="K49" i="2"/>
  <c r="W56" i="4"/>
  <c r="E82" i="3"/>
  <c r="O38" i="4"/>
  <c r="U13" i="4"/>
  <c r="K6" i="2"/>
  <c r="W13" i="4"/>
  <c r="K48" i="2"/>
  <c r="W55" i="4"/>
  <c r="U55" i="4"/>
  <c r="R43" i="4"/>
  <c r="E36" i="2"/>
  <c r="Q43" i="4"/>
  <c r="D36" i="2"/>
  <c r="P43" i="4"/>
  <c r="AQ30" i="2"/>
  <c r="B42" i="2"/>
  <c r="N49" i="4"/>
  <c r="K43" i="2"/>
  <c r="W50" i="4"/>
  <c r="U50" i="4"/>
  <c r="O27" i="4"/>
  <c r="E73" i="3"/>
  <c r="U44" i="4"/>
  <c r="K37" i="2"/>
  <c r="W44" i="4"/>
  <c r="U54" i="4"/>
  <c r="K47" i="2"/>
  <c r="W54" i="4"/>
  <c r="R49" i="4"/>
  <c r="D42" i="2"/>
  <c r="P49" i="4"/>
  <c r="E42" i="2"/>
  <c r="Q49" i="4"/>
  <c r="E18" i="2"/>
  <c r="Q25" i="4"/>
  <c r="R25" i="4"/>
  <c r="D18" i="2"/>
  <c r="P25" i="4"/>
  <c r="K17" i="2"/>
  <c r="W24" i="4"/>
  <c r="U24" i="4"/>
  <c r="U39" i="4"/>
  <c r="K32" i="2"/>
  <c r="W39" i="4"/>
  <c r="R30" i="4"/>
  <c r="E23" i="2"/>
  <c r="AQ6" i="2"/>
  <c r="B6" i="2"/>
  <c r="N13" i="4"/>
  <c r="D47" i="2"/>
  <c r="P54" i="4"/>
  <c r="E47" i="2"/>
  <c r="R54" i="4"/>
  <c r="O42" i="4"/>
  <c r="E85" i="3"/>
  <c r="U48" i="4"/>
  <c r="K41" i="2"/>
  <c r="W48" i="4"/>
  <c r="K25" i="2"/>
  <c r="W32" i="4"/>
  <c r="U32" i="4"/>
  <c r="K13" i="2"/>
  <c r="W20" i="4"/>
  <c r="U20" i="4"/>
  <c r="O20" i="4"/>
  <c r="E67" i="3"/>
  <c r="K30" i="2"/>
  <c r="W37" i="4"/>
  <c r="U37" i="4"/>
  <c r="O37" i="4"/>
  <c r="E81" i="3"/>
  <c r="AQ24" i="2"/>
  <c r="B32" i="2"/>
  <c r="N39" i="4"/>
  <c r="AQ18" i="2"/>
  <c r="B24" i="2"/>
  <c r="N31" i="4"/>
  <c r="D7" i="2"/>
  <c r="P14" i="4"/>
  <c r="R14" i="4"/>
  <c r="E7" i="2"/>
  <c r="Q14" i="4"/>
  <c r="D12" i="2"/>
  <c r="P19" i="4"/>
  <c r="R19" i="4"/>
  <c r="E12" i="2"/>
  <c r="Q19" i="4"/>
  <c r="E72" i="3"/>
  <c r="O26" i="4"/>
  <c r="U21" i="4"/>
  <c r="K14" i="2"/>
  <c r="W21" i="4"/>
  <c r="E97" i="3"/>
  <c r="O56" i="4"/>
  <c r="O24" i="4"/>
  <c r="E70" i="3"/>
  <c r="U38" i="4"/>
  <c r="K31" i="2"/>
  <c r="W38" i="4"/>
  <c r="K24" i="2"/>
  <c r="W31" i="4"/>
  <c r="U31" i="4"/>
  <c r="E6" i="2"/>
  <c r="Q13" i="4"/>
  <c r="R13" i="4"/>
  <c r="D6" i="2"/>
  <c r="P13" i="4"/>
  <c r="R55" i="4"/>
  <c r="D48" i="2"/>
  <c r="P55" i="4"/>
  <c r="E48" i="2"/>
  <c r="Q55" i="4"/>
  <c r="U43" i="4"/>
  <c r="K36" i="2"/>
  <c r="W43" i="4"/>
  <c r="AQ15" i="2"/>
  <c r="B19" i="2"/>
  <c r="N26" i="4"/>
  <c r="K20" i="2"/>
  <c r="W27" i="4"/>
  <c r="U27" i="4"/>
  <c r="O15" i="4"/>
  <c r="E63" i="3"/>
  <c r="E87" i="3"/>
  <c r="O44" i="4"/>
  <c r="Q54" i="4"/>
  <c r="Q58" i="4"/>
  <c r="E51" i="2"/>
  <c r="Q48" i="4"/>
  <c r="Q52" i="4"/>
  <c r="E45" i="2"/>
  <c r="E9" i="2"/>
  <c r="Q12" i="4"/>
  <c r="Q16" i="4"/>
  <c r="E15" i="2"/>
  <c r="Q18" i="4"/>
  <c r="Q22" i="4"/>
  <c r="E39" i="2"/>
  <c r="Q42" i="4"/>
  <c r="Q46" i="4"/>
  <c r="E21" i="2"/>
  <c r="Q24" i="4"/>
  <c r="Q28" i="4"/>
  <c r="Q30" i="4"/>
  <c r="Q34" i="4"/>
  <c r="E27" i="2"/>
  <c r="Q36" i="4"/>
  <c r="Q40" i="4"/>
  <c r="E33" i="2"/>
  <c r="E15" i="3"/>
  <c r="E25" i="3"/>
  <c r="E16" i="3"/>
  <c r="I27" i="3"/>
  <c r="E7" i="3"/>
  <c r="E21" i="3"/>
  <c r="E8" i="3"/>
  <c r="E5" i="3"/>
  <c r="E6" i="3"/>
  <c r="I20" i="3"/>
  <c r="E10" i="3"/>
  <c r="I21" i="3"/>
  <c r="E9" i="3"/>
  <c r="E22" i="3"/>
  <c r="E18" i="3"/>
  <c r="I25" i="3"/>
  <c r="E17" i="3"/>
  <c r="E27" i="3"/>
  <c r="E12" i="3"/>
  <c r="I26" i="3"/>
  <c r="E11" i="3"/>
  <c r="E24" i="3"/>
  <c r="E14" i="3"/>
  <c r="I24" i="3"/>
  <c r="E13" i="3"/>
  <c r="E26" i="3"/>
  <c r="E3" i="3"/>
  <c r="E20" i="3"/>
  <c r="E4" i="3"/>
  <c r="I23" i="3"/>
  <c r="O54" i="2"/>
  <c r="E66" i="4"/>
  <c r="E62" i="4"/>
  <c r="O50" i="2"/>
  <c r="S56" i="2"/>
  <c r="I68" i="4"/>
  <c r="S51" i="2"/>
  <c r="I63" i="4"/>
  <c r="E63" i="4"/>
  <c r="O51" i="2"/>
  <c r="I65" i="4"/>
  <c r="S53" i="2"/>
  <c r="I22" i="3"/>
  <c r="E68" i="4"/>
  <c r="O56" i="2"/>
  <c r="O57" i="2"/>
  <c r="E69" i="4"/>
  <c r="I62" i="4"/>
  <c r="S50" i="2"/>
  <c r="I69" i="4"/>
  <c r="S57" i="2"/>
  <c r="E64" i="4"/>
  <c r="O52" i="2"/>
  <c r="S54" i="2"/>
  <c r="I66" i="4"/>
  <c r="S55" i="2"/>
  <c r="I67" i="4"/>
  <c r="E23" i="3"/>
  <c r="E67" i="4"/>
  <c r="O55" i="2"/>
  <c r="E65" i="4"/>
  <c r="O53" i="2"/>
  <c r="S52" i="2"/>
  <c r="AX18" i="2"/>
  <c r="AY18" i="2"/>
  <c r="I64" i="4"/>
  <c r="BV11" i="2"/>
  <c r="BH30" i="2"/>
  <c r="BI30" i="2"/>
  <c r="BH5" i="2"/>
  <c r="BI5" i="2"/>
  <c r="BU33" i="2"/>
  <c r="BV9" i="2"/>
  <c r="AX7" i="2"/>
  <c r="AY7" i="2"/>
  <c r="BH18" i="2"/>
  <c r="BI18" i="2"/>
  <c r="AX25" i="2"/>
  <c r="AY25" i="2"/>
  <c r="BH24" i="2"/>
  <c r="BI24" i="2"/>
  <c r="BU10" i="2"/>
  <c r="AX17" i="2"/>
  <c r="AY17" i="2"/>
  <c r="BU36" i="2"/>
  <c r="BH16" i="2"/>
  <c r="BI16" i="2"/>
  <c r="BH10" i="2"/>
  <c r="BI10" i="2"/>
  <c r="AX28" i="2"/>
  <c r="AY28" i="2"/>
  <c r="BV36" i="2"/>
  <c r="BH20" i="2"/>
  <c r="BI20" i="2"/>
  <c r="AX35" i="2"/>
  <c r="AY35" i="2"/>
  <c r="AX13" i="2"/>
  <c r="AY13" i="2"/>
  <c r="BH12" i="2"/>
  <c r="BI12" i="2"/>
  <c r="AX15" i="2"/>
  <c r="AY15" i="2"/>
  <c r="BV25" i="2"/>
  <c r="BU24" i="2"/>
  <c r="BH23" i="2"/>
  <c r="BI23" i="2"/>
  <c r="AX27" i="2"/>
  <c r="AY27" i="2"/>
  <c r="BU21" i="2"/>
  <c r="BH6" i="2"/>
  <c r="BI6" i="2"/>
  <c r="BV28" i="2"/>
  <c r="AX9" i="2"/>
  <c r="AY9" i="2"/>
  <c r="BH35" i="2"/>
  <c r="BI35" i="2"/>
  <c r="BV34" i="2"/>
  <c r="BV20" i="2"/>
  <c r="BH21" i="2"/>
  <c r="BI21" i="2"/>
  <c r="BV35" i="2"/>
  <c r="BU23" i="2"/>
  <c r="BU34" i="2"/>
  <c r="BW34" i="2"/>
  <c r="BY34" i="2"/>
  <c r="CD34" i="2"/>
  <c r="BV30" i="2"/>
  <c r="BV32" i="2"/>
  <c r="BH29" i="2"/>
  <c r="BI29" i="2"/>
  <c r="AX20" i="2"/>
  <c r="AY20" i="2"/>
  <c r="BU22" i="2"/>
  <c r="AX29" i="2"/>
  <c r="AY29" i="2"/>
  <c r="BH11" i="2"/>
  <c r="BI11" i="2"/>
  <c r="AX16" i="2"/>
  <c r="AY16" i="2"/>
  <c r="AX23" i="2"/>
  <c r="AY23" i="2"/>
  <c r="BV10" i="2"/>
  <c r="BW10" i="2"/>
  <c r="BY10" i="2"/>
  <c r="CD10" i="2"/>
  <c r="AX14" i="2"/>
  <c r="AY14" i="2"/>
  <c r="AX34" i="2"/>
  <c r="AY34" i="2"/>
  <c r="BV18" i="2"/>
  <c r="BH33" i="2"/>
  <c r="BI33" i="2"/>
  <c r="BH31" i="2"/>
  <c r="BI31" i="2"/>
  <c r="BH8" i="2"/>
  <c r="BI8" i="2"/>
  <c r="AX24" i="2"/>
  <c r="AY24" i="2"/>
  <c r="BU26" i="2"/>
  <c r="BV13" i="2"/>
  <c r="AX8" i="2"/>
  <c r="AY8" i="2"/>
  <c r="BU19" i="2"/>
  <c r="BU11" i="2"/>
  <c r="BW11" i="2"/>
  <c r="BY11" i="2"/>
  <c r="CD11" i="2"/>
  <c r="BU20" i="2"/>
  <c r="BU25" i="2"/>
  <c r="BW25" i="2"/>
  <c r="BY25" i="2"/>
  <c r="CD25" i="2"/>
  <c r="BU15" i="2"/>
  <c r="BH7" i="2"/>
  <c r="BI7" i="2"/>
  <c r="AX22" i="2"/>
  <c r="AY22" i="2"/>
  <c r="BH14" i="2"/>
  <c r="BI14" i="2"/>
  <c r="AX10" i="2"/>
  <c r="AY10" i="2"/>
  <c r="BH15" i="2"/>
  <c r="BI15" i="2"/>
  <c r="BU5" i="2"/>
  <c r="BU27" i="2"/>
  <c r="BV19" i="2"/>
  <c r="BU30" i="2"/>
  <c r="BW30" i="2"/>
  <c r="BY30" i="2"/>
  <c r="CD30" i="2"/>
  <c r="BH13" i="2"/>
  <c r="BI13" i="2"/>
  <c r="BH19" i="2"/>
  <c r="BI19" i="2"/>
  <c r="BU8" i="2"/>
  <c r="BH34" i="2"/>
  <c r="BI34" i="2"/>
  <c r="BV8" i="2"/>
  <c r="BV5" i="2"/>
  <c r="AX6" i="2"/>
  <c r="AY6" i="2"/>
  <c r="BU13" i="2"/>
  <c r="AX12" i="2"/>
  <c r="AY12" i="2"/>
  <c r="BV17" i="2"/>
  <c r="BV12" i="2"/>
  <c r="BU16" i="2"/>
  <c r="BV7" i="2"/>
  <c r="AX33" i="2"/>
  <c r="AY33" i="2"/>
  <c r="BV24" i="2"/>
  <c r="BU28" i="2"/>
  <c r="BU6" i="2"/>
  <c r="BU32" i="2"/>
  <c r="BV29" i="2"/>
  <c r="AX11" i="2"/>
  <c r="AY11" i="2"/>
  <c r="BV22" i="2"/>
  <c r="BV27" i="2"/>
  <c r="BH25" i="2"/>
  <c r="BI25" i="2"/>
  <c r="BU17" i="2"/>
  <c r="BV26" i="2"/>
  <c r="AX21" i="2"/>
  <c r="AY21" i="2"/>
  <c r="BU9" i="2"/>
  <c r="BW9" i="2"/>
  <c r="BY9" i="2"/>
  <c r="CD9" i="2"/>
  <c r="BU31" i="2"/>
  <c r="BV14" i="2"/>
  <c r="AX19" i="2"/>
  <c r="AY19" i="2"/>
  <c r="BH9" i="2"/>
  <c r="BI9" i="2"/>
  <c r="BU18" i="2"/>
  <c r="BW18" i="2"/>
  <c r="BY18" i="2"/>
  <c r="CD18" i="2"/>
  <c r="BH32" i="2"/>
  <c r="BI32" i="2"/>
  <c r="BH27" i="2"/>
  <c r="BI27" i="2"/>
  <c r="BU35" i="2"/>
  <c r="BH28" i="2"/>
  <c r="BI28" i="2"/>
  <c r="BU12" i="2"/>
  <c r="AX36" i="2"/>
  <c r="AY36" i="2"/>
  <c r="BV31" i="2"/>
  <c r="BH26" i="2"/>
  <c r="BI26" i="2"/>
  <c r="BU7" i="2"/>
  <c r="BW7" i="2"/>
  <c r="BY7" i="2"/>
  <c r="CD7" i="2"/>
  <c r="BH17" i="2"/>
  <c r="BI17" i="2"/>
  <c r="AX30" i="2"/>
  <c r="AY30" i="2"/>
  <c r="AX26" i="2"/>
  <c r="AY26" i="2"/>
  <c r="BV21" i="2"/>
  <c r="BW21" i="2"/>
  <c r="BY21" i="2"/>
  <c r="CD21" i="2"/>
  <c r="AX5" i="2"/>
  <c r="AY5" i="2"/>
  <c r="AX31" i="2"/>
  <c r="AY31" i="2"/>
  <c r="BU14" i="2"/>
  <c r="AX32" i="2"/>
  <c r="AY32" i="2"/>
  <c r="BV33" i="2"/>
  <c r="BV15" i="2"/>
  <c r="BH36" i="2"/>
  <c r="BI36" i="2"/>
  <c r="BV16" i="2"/>
  <c r="BU29" i="2"/>
  <c r="BW29" i="2"/>
  <c r="BY29" i="2"/>
  <c r="CD29" i="2"/>
  <c r="BV6" i="2"/>
  <c r="BV23" i="2"/>
  <c r="BH22" i="2"/>
  <c r="BI22" i="2"/>
  <c r="BW20" i="2"/>
  <c r="BY20" i="2"/>
  <c r="CD20" i="2"/>
  <c r="BW14" i="2"/>
  <c r="BY14" i="2"/>
  <c r="CD14" i="2"/>
  <c r="BW17" i="2"/>
  <c r="BY17" i="2"/>
  <c r="CD17" i="2"/>
  <c r="BW28" i="2"/>
  <c r="BY28" i="2"/>
  <c r="CD28" i="2"/>
  <c r="BW13" i="2"/>
  <c r="BY13" i="2"/>
  <c r="CD13" i="2"/>
  <c r="BW24" i="2"/>
  <c r="BY24" i="2"/>
  <c r="CD24" i="2"/>
  <c r="BW36" i="2"/>
  <c r="BY36" i="2"/>
  <c r="CD36" i="2"/>
  <c r="BW8" i="2"/>
  <c r="BY8" i="2"/>
  <c r="CD8" i="2"/>
  <c r="BJ33" i="2"/>
  <c r="BK33" i="2"/>
  <c r="BM33" i="2"/>
  <c r="BW26" i="2"/>
  <c r="BY26" i="2"/>
  <c r="CD26" i="2"/>
  <c r="BW33" i="2"/>
  <c r="BY33" i="2"/>
  <c r="CD33" i="2"/>
  <c r="AZ27" i="2"/>
  <c r="BA27" i="2"/>
  <c r="AZ26" i="2"/>
  <c r="BA26" i="2"/>
  <c r="AZ12" i="2"/>
  <c r="BA12" i="2"/>
  <c r="AZ14" i="2"/>
  <c r="BA14" i="2"/>
  <c r="AZ9" i="2"/>
  <c r="BA9" i="2"/>
  <c r="AZ6" i="2"/>
  <c r="BA6" i="2"/>
  <c r="AZ23" i="2"/>
  <c r="BA23" i="2"/>
  <c r="AZ7" i="2"/>
  <c r="BA7" i="2"/>
  <c r="AZ29" i="2"/>
  <c r="BA29" i="2"/>
  <c r="AZ32" i="2"/>
  <c r="BA32" i="2"/>
  <c r="AZ31" i="2"/>
  <c r="BA31" i="2"/>
  <c r="AZ17" i="2"/>
  <c r="BA17" i="2"/>
  <c r="AZ11" i="2"/>
  <c r="BA11" i="2"/>
  <c r="AZ22" i="2"/>
  <c r="BA22" i="2"/>
  <c r="AZ36" i="2"/>
  <c r="BA36" i="2"/>
  <c r="AZ10" i="2"/>
  <c r="BA10" i="2"/>
  <c r="AZ19" i="2"/>
  <c r="BA19" i="2"/>
  <c r="AZ28" i="2"/>
  <c r="BA28" i="2"/>
  <c r="AZ24" i="2"/>
  <c r="BA24" i="2"/>
  <c r="AZ25" i="2"/>
  <c r="BA25" i="2"/>
  <c r="AZ5" i="2"/>
  <c r="BA5" i="2"/>
  <c r="AZ35" i="2"/>
  <c r="BA35" i="2"/>
  <c r="AZ20" i="2"/>
  <c r="BA20" i="2"/>
  <c r="AZ13" i="2"/>
  <c r="BA13" i="2"/>
  <c r="AZ16" i="2"/>
  <c r="BA16" i="2"/>
  <c r="AZ21" i="2"/>
  <c r="BA21" i="2"/>
  <c r="AZ8" i="2"/>
  <c r="BA8" i="2"/>
  <c r="AZ33" i="2"/>
  <c r="BA33" i="2"/>
  <c r="AZ34" i="2"/>
  <c r="BA34" i="2"/>
  <c r="AZ30" i="2"/>
  <c r="BA30" i="2"/>
  <c r="AZ18" i="2"/>
  <c r="BA18" i="2"/>
  <c r="AZ15" i="2"/>
  <c r="BA15" i="2"/>
  <c r="BJ32" i="2"/>
  <c r="BK32" i="2"/>
  <c r="BW12" i="2"/>
  <c r="BY12" i="2"/>
  <c r="CD12" i="2"/>
  <c r="BW32" i="2"/>
  <c r="BY32" i="2"/>
  <c r="CD32" i="2"/>
  <c r="BW27" i="2"/>
  <c r="BY27" i="2"/>
  <c r="CD27" i="2"/>
  <c r="BJ8" i="2"/>
  <c r="BK8" i="2"/>
  <c r="BJ34" i="2"/>
  <c r="BK34" i="2"/>
  <c r="BJ7" i="2"/>
  <c r="BK7" i="2"/>
  <c r="BJ30" i="2"/>
  <c r="BK30" i="2"/>
  <c r="BJ26" i="2"/>
  <c r="BK26" i="2"/>
  <c r="BJ5" i="2"/>
  <c r="BK5" i="2"/>
  <c r="BJ9" i="2"/>
  <c r="BK9" i="2"/>
  <c r="BJ22" i="2"/>
  <c r="BK22" i="2"/>
  <c r="BW15" i="2"/>
  <c r="BY15" i="2"/>
  <c r="CD15" i="2"/>
  <c r="BW19" i="2"/>
  <c r="BY19" i="2"/>
  <c r="CD19" i="2"/>
  <c r="BW22" i="2"/>
  <c r="BY22" i="2"/>
  <c r="CD22" i="2"/>
  <c r="BJ11" i="2"/>
  <c r="BK11" i="2"/>
  <c r="BJ21" i="2"/>
  <c r="BK21" i="2"/>
  <c r="BJ16" i="2"/>
  <c r="BK16" i="2"/>
  <c r="BJ28" i="2"/>
  <c r="BK28" i="2"/>
  <c r="BJ20" i="2"/>
  <c r="BK20" i="2"/>
  <c r="BJ19" i="2"/>
  <c r="BK19" i="2"/>
  <c r="BJ35" i="2"/>
  <c r="BK35" i="2"/>
  <c r="BW31" i="2"/>
  <c r="BY31" i="2"/>
  <c r="CD31" i="2"/>
  <c r="BW6" i="2"/>
  <c r="BY6" i="2"/>
  <c r="CD6" i="2"/>
  <c r="BW5" i="2"/>
  <c r="BY5" i="2"/>
  <c r="BJ10" i="2"/>
  <c r="BK10" i="2"/>
  <c r="BJ31" i="2"/>
  <c r="BK31" i="2"/>
  <c r="BJ18" i="2"/>
  <c r="BK18" i="2"/>
  <c r="BJ6" i="2"/>
  <c r="BK6" i="2"/>
  <c r="BJ23" i="2"/>
  <c r="BK23" i="2"/>
  <c r="BJ36" i="2"/>
  <c r="BK36" i="2"/>
  <c r="BJ25" i="2"/>
  <c r="BK25" i="2"/>
  <c r="BJ17" i="2"/>
  <c r="BK17" i="2"/>
  <c r="BW35" i="2"/>
  <c r="BY35" i="2"/>
  <c r="CD35" i="2"/>
  <c r="BW16" i="2"/>
  <c r="BY16" i="2"/>
  <c r="CD16" i="2"/>
  <c r="BJ13" i="2"/>
  <c r="BK13" i="2"/>
  <c r="BJ29" i="2"/>
  <c r="BK29" i="2"/>
  <c r="BJ24" i="2"/>
  <c r="BK24" i="2"/>
  <c r="BJ15" i="2"/>
  <c r="BK15" i="2"/>
  <c r="BJ12" i="2"/>
  <c r="BK12" i="2"/>
  <c r="BJ14" i="2"/>
  <c r="BK14" i="2"/>
  <c r="BJ27" i="2"/>
  <c r="BK27" i="2"/>
  <c r="BW23" i="2"/>
  <c r="BY23" i="2"/>
  <c r="CD23" i="2"/>
  <c r="BL33" i="2"/>
  <c r="BM27" i="2"/>
  <c r="BL27" i="2"/>
  <c r="BL24" i="2"/>
  <c r="BM24" i="2"/>
  <c r="BM23" i="2"/>
  <c r="BL23" i="2"/>
  <c r="BL10" i="2"/>
  <c r="BM10" i="2"/>
  <c r="BL35" i="2"/>
  <c r="BM35" i="2"/>
  <c r="BM16" i="2"/>
  <c r="BL16" i="2"/>
  <c r="BL5" i="2"/>
  <c r="BM5" i="2"/>
  <c r="BL34" i="2"/>
  <c r="BM34" i="2"/>
  <c r="BC30" i="2"/>
  <c r="BB30" i="2"/>
  <c r="BB21" i="2"/>
  <c r="BC21" i="2"/>
  <c r="BC35" i="2"/>
  <c r="BB35" i="2"/>
  <c r="BB28" i="2"/>
  <c r="BC28" i="2"/>
  <c r="BC22" i="2"/>
  <c r="BB22" i="2"/>
  <c r="BB32" i="2"/>
  <c r="BC32" i="2"/>
  <c r="BC6" i="2"/>
  <c r="BB6" i="2"/>
  <c r="BC26" i="2"/>
  <c r="BB26" i="2"/>
  <c r="BL13" i="2"/>
  <c r="BM13" i="2"/>
  <c r="BL14" i="2"/>
  <c r="BM14" i="2"/>
  <c r="BM29" i="2"/>
  <c r="BL29" i="2"/>
  <c r="BM17" i="2"/>
  <c r="BL17" i="2"/>
  <c r="BM6" i="2"/>
  <c r="BL6" i="2"/>
  <c r="BZ31" i="2"/>
  <c r="CA31" i="2"/>
  <c r="CB31" i="2"/>
  <c r="BZ19" i="2"/>
  <c r="CA19" i="2"/>
  <c r="CB19" i="2"/>
  <c r="BZ30" i="2"/>
  <c r="CA30" i="2"/>
  <c r="CB30" i="2"/>
  <c r="BZ32" i="2"/>
  <c r="CA32" i="2"/>
  <c r="CB32" i="2"/>
  <c r="BZ21" i="2"/>
  <c r="CA21" i="2"/>
  <c r="CB21" i="2"/>
  <c r="BZ29" i="2"/>
  <c r="CA29" i="2"/>
  <c r="CB29" i="2"/>
  <c r="BZ18" i="2"/>
  <c r="CA18" i="2"/>
  <c r="CB18" i="2"/>
  <c r="CD5" i="2"/>
  <c r="BZ8" i="2"/>
  <c r="CA8" i="2"/>
  <c r="CB8" i="2"/>
  <c r="BZ6" i="2"/>
  <c r="CA6" i="2"/>
  <c r="CB6" i="2"/>
  <c r="BZ35" i="2"/>
  <c r="CA35" i="2"/>
  <c r="CB35" i="2"/>
  <c r="BZ12" i="2"/>
  <c r="CA12" i="2"/>
  <c r="CB12" i="2"/>
  <c r="BZ27" i="2"/>
  <c r="CA27" i="2"/>
  <c r="CB27" i="2"/>
  <c r="BZ10" i="2"/>
  <c r="CA10" i="2"/>
  <c r="CB10" i="2"/>
  <c r="BZ17" i="2"/>
  <c r="CA17" i="2"/>
  <c r="CB17" i="2"/>
  <c r="BZ22" i="2"/>
  <c r="CA22" i="2"/>
  <c r="CB22" i="2"/>
  <c r="BZ7" i="2"/>
  <c r="CA7" i="2"/>
  <c r="CB7" i="2"/>
  <c r="BZ34" i="2"/>
  <c r="CA34" i="2"/>
  <c r="CB34" i="2"/>
  <c r="BZ36" i="2"/>
  <c r="CA36" i="2"/>
  <c r="CB36" i="2"/>
  <c r="BZ20" i="2"/>
  <c r="CA20" i="2"/>
  <c r="CB20" i="2"/>
  <c r="BZ13" i="2"/>
  <c r="CA13" i="2"/>
  <c r="CB13" i="2"/>
  <c r="BZ26" i="2"/>
  <c r="CA26" i="2"/>
  <c r="CB26" i="2"/>
  <c r="BZ25" i="2"/>
  <c r="CA25" i="2"/>
  <c r="CB25" i="2"/>
  <c r="BZ16" i="2"/>
  <c r="CA16" i="2"/>
  <c r="CB16" i="2"/>
  <c r="BZ28" i="2"/>
  <c r="CA28" i="2"/>
  <c r="CB28" i="2"/>
  <c r="BZ5" i="2"/>
  <c r="CA5" i="2"/>
  <c r="CB5" i="2"/>
  <c r="BZ15" i="2"/>
  <c r="CA15" i="2"/>
  <c r="CB15" i="2"/>
  <c r="BZ11" i="2"/>
  <c r="CA11" i="2"/>
  <c r="CB11" i="2"/>
  <c r="BZ24" i="2"/>
  <c r="CA24" i="2"/>
  <c r="CB24" i="2"/>
  <c r="BZ14" i="2"/>
  <c r="CA14" i="2"/>
  <c r="CB14" i="2"/>
  <c r="BZ33" i="2"/>
  <c r="CA33" i="2"/>
  <c r="CB33" i="2"/>
  <c r="BZ9" i="2"/>
  <c r="CA9" i="2"/>
  <c r="CB9" i="2"/>
  <c r="BZ23" i="2"/>
  <c r="CA23" i="2"/>
  <c r="CB23" i="2"/>
  <c r="BL19" i="2"/>
  <c r="BM19" i="2"/>
  <c r="BL21" i="2"/>
  <c r="BM21" i="2"/>
  <c r="BM26" i="2"/>
  <c r="BL26" i="2"/>
  <c r="BM8" i="2"/>
  <c r="BL8" i="2"/>
  <c r="BM32" i="2"/>
  <c r="BL32" i="2"/>
  <c r="BB34" i="2"/>
  <c r="BC34" i="2"/>
  <c r="BB16" i="2"/>
  <c r="BC16" i="2"/>
  <c r="BB5" i="2"/>
  <c r="BC5" i="2"/>
  <c r="BB19" i="2"/>
  <c r="BC19" i="2"/>
  <c r="BB11" i="2"/>
  <c r="BC11" i="2"/>
  <c r="BC29" i="2"/>
  <c r="BB29" i="2"/>
  <c r="BB9" i="2"/>
  <c r="BC9" i="2"/>
  <c r="BB27" i="2"/>
  <c r="BC27" i="2"/>
  <c r="BL12" i="2"/>
  <c r="BM12" i="2"/>
  <c r="BM25" i="2"/>
  <c r="BL25" i="2"/>
  <c r="BL18" i="2"/>
  <c r="BM18" i="2"/>
  <c r="BM20" i="2"/>
  <c r="BL20" i="2"/>
  <c r="BM11" i="2"/>
  <c r="BL11" i="2"/>
  <c r="BL22" i="2"/>
  <c r="BM22" i="2"/>
  <c r="BL30" i="2"/>
  <c r="BM30" i="2"/>
  <c r="BC15" i="2"/>
  <c r="BB15" i="2"/>
  <c r="BB33" i="2"/>
  <c r="BC33" i="2"/>
  <c r="BB13" i="2"/>
  <c r="BC13" i="2"/>
  <c r="BC25" i="2"/>
  <c r="BB25" i="2"/>
  <c r="BB10" i="2"/>
  <c r="BC10" i="2"/>
  <c r="BB17" i="2"/>
  <c r="BC17" i="2"/>
  <c r="BC7" i="2"/>
  <c r="BB7" i="2"/>
  <c r="BB14" i="2"/>
  <c r="BC14" i="2"/>
  <c r="BM15" i="2"/>
  <c r="BL15" i="2"/>
  <c r="BM36" i="2"/>
  <c r="BL36" i="2"/>
  <c r="BL31" i="2"/>
  <c r="BM31" i="2"/>
  <c r="BM28" i="2"/>
  <c r="BL28" i="2"/>
  <c r="BL9" i="2"/>
  <c r="BM9" i="2"/>
  <c r="BL7" i="2"/>
  <c r="BM7" i="2"/>
  <c r="BB18" i="2"/>
  <c r="BC18" i="2"/>
  <c r="BB8" i="2"/>
  <c r="BC8" i="2"/>
  <c r="BB20" i="2"/>
  <c r="BC20" i="2"/>
  <c r="BC24" i="2"/>
  <c r="BB24" i="2"/>
  <c r="BB36" i="2"/>
  <c r="BC36" i="2"/>
  <c r="BC31" i="2"/>
  <c r="BB31" i="2"/>
  <c r="BC23" i="2"/>
  <c r="BB23" i="2"/>
  <c r="BB12" i="2"/>
  <c r="BC12" i="2"/>
  <c r="CE7" i="2"/>
  <c r="CE29" i="2"/>
  <c r="CE16" i="2"/>
  <c r="CE10" i="2"/>
  <c r="CE24" i="2"/>
  <c r="CE12" i="2"/>
  <c r="CE11" i="2"/>
  <c r="CE27" i="2"/>
  <c r="CE9" i="2"/>
  <c r="CE35" i="2"/>
  <c r="CE6" i="2"/>
  <c r="CC7" i="2"/>
  <c r="CE28" i="2"/>
  <c r="CC29" i="2"/>
  <c r="CE26" i="2"/>
  <c r="CE32" i="2"/>
  <c r="CE13" i="2"/>
  <c r="CE18" i="2"/>
  <c r="CE17" i="2"/>
  <c r="CE8" i="2"/>
  <c r="CC9" i="2"/>
  <c r="CE19" i="2"/>
  <c r="CE15" i="2"/>
  <c r="CC16" i="2"/>
  <c r="CE5" i="2"/>
  <c r="CE20" i="2"/>
  <c r="CE21" i="2"/>
  <c r="CE36" i="2"/>
  <c r="CE25" i="2"/>
  <c r="CC26" i="2"/>
  <c r="CE30" i="2"/>
  <c r="CE23" i="2"/>
  <c r="CC24" i="2"/>
  <c r="CE14" i="2"/>
  <c r="CC15" i="2"/>
  <c r="CE33" i="2"/>
  <c r="CE31" i="2"/>
  <c r="CC32" i="2"/>
  <c r="CE34" i="2"/>
  <c r="CC35" i="2"/>
  <c r="CE22" i="2"/>
  <c r="CC23" i="2"/>
  <c r="CC6" i="2"/>
  <c r="CC12" i="2"/>
  <c r="CC18" i="2"/>
  <c r="CC27" i="2"/>
  <c r="CC10" i="2"/>
  <c r="CC19" i="2"/>
  <c r="CC28" i="2"/>
  <c r="CC11" i="2"/>
  <c r="CC22" i="2"/>
  <c r="CC20" i="2"/>
  <c r="CC14" i="2"/>
  <c r="CC17" i="2"/>
  <c r="CC31" i="2"/>
  <c r="CC21" i="2"/>
  <c r="CC33" i="2"/>
  <c r="CC36" i="2"/>
  <c r="CC13" i="2"/>
  <c r="CC30" i="2"/>
  <c r="CC34" i="2"/>
  <c r="CC25" i="2"/>
  <c r="CC8" i="2"/>
</calcChain>
</file>

<file path=xl/sharedStrings.xml><?xml version="1.0" encoding="utf-8"?>
<sst xmlns="http://schemas.openxmlformats.org/spreadsheetml/2006/main" count="12550" uniqueCount="349">
  <si>
    <t>x</t>
  </si>
  <si>
    <t>México</t>
  </si>
  <si>
    <t>Uruguai</t>
  </si>
  <si>
    <t>França</t>
  </si>
  <si>
    <t>Argentina</t>
  </si>
  <si>
    <t>Coreia do Sul</t>
  </si>
  <si>
    <t>Inglaterra</t>
  </si>
  <si>
    <t>Alemanha</t>
  </si>
  <si>
    <t>Japão</t>
  </si>
  <si>
    <t>Portugal</t>
  </si>
  <si>
    <t>Brasil</t>
  </si>
  <si>
    <t>Espanha</t>
  </si>
  <si>
    <t>Suíça</t>
  </si>
  <si>
    <t>CLASSIFICAÇÃO DA COPA</t>
  </si>
  <si>
    <t>número do jogo</t>
  </si>
  <si>
    <t>jogou</t>
  </si>
  <si>
    <t>classificação geral da copa</t>
  </si>
  <si>
    <t>pg</t>
  </si>
  <si>
    <t>j</t>
  </si>
  <si>
    <t>v</t>
  </si>
  <si>
    <t>d</t>
  </si>
  <si>
    <t>e</t>
  </si>
  <si>
    <t>gp</t>
  </si>
  <si>
    <t>gc</t>
  </si>
  <si>
    <t>sg</t>
  </si>
  <si>
    <t>%</t>
  </si>
  <si>
    <t>ordem certa</t>
  </si>
  <si>
    <t>N</t>
  </si>
  <si>
    <t>seleção</t>
  </si>
  <si>
    <t>colocação</t>
  </si>
  <si>
    <t>ordem</t>
  </si>
  <si>
    <t>GRUPO</t>
  </si>
  <si>
    <t>Melhores ataques</t>
  </si>
  <si>
    <t>Melhores defesas</t>
  </si>
  <si>
    <t>Grupo A</t>
  </si>
  <si>
    <t>PG</t>
  </si>
  <si>
    <t>J</t>
  </si>
  <si>
    <t>V</t>
  </si>
  <si>
    <t>D</t>
  </si>
  <si>
    <t>E</t>
  </si>
  <si>
    <t>GP</t>
  </si>
  <si>
    <t>GC</t>
  </si>
  <si>
    <t>SG</t>
  </si>
  <si>
    <t>Gols 2a fase</t>
  </si>
  <si>
    <t>GOLS PRÓ</t>
  </si>
  <si>
    <t>GOLS</t>
  </si>
  <si>
    <t>A</t>
  </si>
  <si>
    <t>B</t>
  </si>
  <si>
    <t>Grupo B</t>
  </si>
  <si>
    <t>C</t>
  </si>
  <si>
    <t>Grupo C</t>
  </si>
  <si>
    <t>Grupo D</t>
  </si>
  <si>
    <t>F</t>
  </si>
  <si>
    <t>Grupo E</t>
  </si>
  <si>
    <t>G</t>
  </si>
  <si>
    <t>H</t>
  </si>
  <si>
    <t>Grupo F</t>
  </si>
  <si>
    <t>Escolha uma seleção</t>
  </si>
  <si>
    <t>Grupo G</t>
  </si>
  <si>
    <t>Grupo H</t>
  </si>
  <si>
    <t>jogos 1a. Fase</t>
  </si>
  <si>
    <t>1ª FASE - CLASSIFICADOS</t>
  </si>
  <si>
    <t>grupo A</t>
  </si>
  <si>
    <t>1º</t>
  </si>
  <si>
    <t>2º</t>
  </si>
  <si>
    <t>grupo B</t>
  </si>
  <si>
    <t>grupo C</t>
  </si>
  <si>
    <t>grupo D</t>
  </si>
  <si>
    <t>grupo E</t>
  </si>
  <si>
    <t>grupo F</t>
  </si>
  <si>
    <t>Croácia</t>
  </si>
  <si>
    <t>grupo G</t>
  </si>
  <si>
    <t>grupo H</t>
  </si>
  <si>
    <t>Data</t>
  </si>
  <si>
    <t>Hora</t>
  </si>
  <si>
    <t>Local</t>
  </si>
  <si>
    <t>Jogo</t>
  </si>
  <si>
    <t>Oitavas-de-final</t>
  </si>
  <si>
    <t>Pênaltis</t>
  </si>
  <si>
    <t>Quartas-de-final</t>
  </si>
  <si>
    <t>Semifinal</t>
  </si>
  <si>
    <t>Disputa do 3º e 4º lugares</t>
  </si>
  <si>
    <t>FINAL</t>
  </si>
  <si>
    <t>Campeão</t>
  </si>
  <si>
    <t>Vice</t>
  </si>
  <si>
    <t>3º Lugar</t>
  </si>
  <si>
    <t>4º Lugar</t>
  </si>
  <si>
    <t>Artilheiro</t>
  </si>
  <si>
    <t>Total:</t>
  </si>
  <si>
    <t>desempate</t>
  </si>
  <si>
    <t>campeão</t>
  </si>
  <si>
    <t>vice</t>
  </si>
  <si>
    <t>artilheiro</t>
  </si>
  <si>
    <t>total</t>
  </si>
  <si>
    <t>Grupo</t>
  </si>
  <si>
    <t>Dia</t>
  </si>
  <si>
    <t>Jogos 1ª fase</t>
  </si>
  <si>
    <t>Kaká (Brasil)</t>
  </si>
  <si>
    <t>Rooney (Inglaterra)</t>
  </si>
  <si>
    <t>Cristiano Ronaldo (Portugal)</t>
  </si>
  <si>
    <t>Gilardino (Itália)</t>
  </si>
  <si>
    <t>Klose (Alemanha)</t>
  </si>
  <si>
    <t>3º lugar</t>
  </si>
  <si>
    <t>4º lugar</t>
  </si>
  <si>
    <t>Bélgica</t>
  </si>
  <si>
    <t>-</t>
  </si>
  <si>
    <t>Fernando Torres (Espanha)</t>
  </si>
  <si>
    <t>Robinho (Brasil)</t>
  </si>
  <si>
    <t>Luís Fabiano (Brasil)</t>
  </si>
  <si>
    <t>Messi (Argentina)</t>
  </si>
  <si>
    <t>Robben (Holanda)</t>
  </si>
  <si>
    <t>Van Persie (Holanda)</t>
  </si>
  <si>
    <t>David Villa (Espanha)</t>
  </si>
  <si>
    <t>Diego Milito (Argentina)</t>
  </si>
  <si>
    <t>Gonzalo Higuaín (Argentina)</t>
  </si>
  <si>
    <t>Diego Forlan (Uruguai)</t>
  </si>
  <si>
    <t>Eto'o (Camarões)</t>
  </si>
  <si>
    <t>Sérgio Aguero (Argentina)</t>
  </si>
  <si>
    <t>Dirk Kuyt (Holanda)</t>
  </si>
  <si>
    <t>Mario Gómez (Alemanha)</t>
  </si>
  <si>
    <t>Tévez (Argentina)</t>
  </si>
  <si>
    <t>Podolsky (Alemanha)</t>
  </si>
  <si>
    <t>Selecione um artilheiro</t>
  </si>
  <si>
    <t>Irã</t>
  </si>
  <si>
    <t>2ª FASE</t>
  </si>
  <si>
    <t>Arábia Saudita</t>
  </si>
  <si>
    <t>Marrocos</t>
  </si>
  <si>
    <t>Dinamarca</t>
  </si>
  <si>
    <t>Sérvia</t>
  </si>
  <si>
    <t>Tunísia</t>
  </si>
  <si>
    <t>Polônia</t>
  </si>
  <si>
    <t>Senegal</t>
  </si>
  <si>
    <t>12h</t>
  </si>
  <si>
    <t>7h</t>
  </si>
  <si>
    <t>13h</t>
  </si>
  <si>
    <t>10h</t>
  </si>
  <si>
    <t>16h</t>
  </si>
  <si>
    <t>desempatee</t>
  </si>
  <si>
    <t>Cartões</t>
  </si>
  <si>
    <t>COPA 2022 - CATAR</t>
  </si>
  <si>
    <t>Holanda</t>
  </si>
  <si>
    <t>Catar</t>
  </si>
  <si>
    <t>Equador</t>
  </si>
  <si>
    <t>Internacional Khalifa</t>
  </si>
  <si>
    <t>Al Rayyan</t>
  </si>
  <si>
    <t>Estados Unidos</t>
  </si>
  <si>
    <t>Nacional de Lusail</t>
  </si>
  <si>
    <t>Porto de Doha</t>
  </si>
  <si>
    <t>Cidade da Educação</t>
  </si>
  <si>
    <t>Al Wakrah</t>
  </si>
  <si>
    <t>Canadá</t>
  </si>
  <si>
    <t>Camarões</t>
  </si>
  <si>
    <t>Gana</t>
  </si>
  <si>
    <t>Vitória</t>
  </si>
  <si>
    <t>Derrota</t>
  </si>
  <si>
    <t>Empate</t>
  </si>
  <si>
    <t>Al Khor</t>
  </si>
  <si>
    <t>Al Thumama</t>
  </si>
  <si>
    <t>País de Gales</t>
  </si>
  <si>
    <t>Austrália</t>
  </si>
  <si>
    <t>Costa Rica</t>
  </si>
  <si>
    <t>Al Bayt</t>
  </si>
  <si>
    <t>Ahmad Bin Ali</t>
  </si>
  <si>
    <t>Estádio 974</t>
  </si>
  <si>
    <t>Al Janoub</t>
  </si>
  <si>
    <t>Acertou placar da partida</t>
  </si>
  <si>
    <t>Acertou vencedor/empate da partida</t>
  </si>
  <si>
    <t>Acertou campeão do grupo (Bônus por acerto)</t>
  </si>
  <si>
    <t>Acertou campeão da copa (Bônus)</t>
  </si>
  <si>
    <t>Acertou vice-campeão (Bônus)</t>
  </si>
  <si>
    <t>Acertou placar da partida tempo normal</t>
  </si>
  <si>
    <t>Acertou vencedor/empate da partida  tempo normal</t>
  </si>
  <si>
    <t>1ª Fase</t>
  </si>
  <si>
    <t>2ª Fase</t>
  </si>
  <si>
    <t>Acertou vencedor partida (prorrogação/pênaltis)</t>
  </si>
  <si>
    <t>Participantes</t>
  </si>
  <si>
    <t>George</t>
  </si>
  <si>
    <t>Marcus</t>
  </si>
  <si>
    <t>Silvia</t>
  </si>
  <si>
    <t>Rubiane</t>
  </si>
  <si>
    <t>Albenice</t>
  </si>
  <si>
    <t>Eduardo</t>
  </si>
  <si>
    <t>Andrea</t>
  </si>
  <si>
    <t>Girlayne</t>
  </si>
  <si>
    <t>Adalberto</t>
  </si>
  <si>
    <t>Denise</t>
  </si>
  <si>
    <t>Germano</t>
  </si>
  <si>
    <t>Pagto</t>
  </si>
  <si>
    <t>Pontuação</t>
  </si>
  <si>
    <t>2ºB</t>
  </si>
  <si>
    <t>não jogou</t>
  </si>
  <si>
    <t>1ºC</t>
  </si>
  <si>
    <t>2ºD</t>
  </si>
  <si>
    <t>1ºB</t>
  </si>
  <si>
    <t>1ºD</t>
  </si>
  <si>
    <t>2ºC</t>
  </si>
  <si>
    <t>1ºE</t>
  </si>
  <si>
    <t>2ºF</t>
  </si>
  <si>
    <t>1ºG</t>
  </si>
  <si>
    <t>2ºH</t>
  </si>
  <si>
    <t>1ºF</t>
  </si>
  <si>
    <t>2ºE</t>
  </si>
  <si>
    <t>1ºH</t>
  </si>
  <si>
    <t>2ºG</t>
  </si>
  <si>
    <t>venc.49</t>
  </si>
  <si>
    <t>venc.50</t>
  </si>
  <si>
    <t>venc.53</t>
  </si>
  <si>
    <t>venc.54</t>
  </si>
  <si>
    <t>venc.51</t>
  </si>
  <si>
    <t>venc.52</t>
  </si>
  <si>
    <t>venc.55</t>
  </si>
  <si>
    <t>venc.56</t>
  </si>
  <si>
    <t>venc.57</t>
  </si>
  <si>
    <t>venc.58</t>
  </si>
  <si>
    <t>venc.59</t>
  </si>
  <si>
    <t>venc.60</t>
  </si>
  <si>
    <t>perd.61</t>
  </si>
  <si>
    <t>perd.62</t>
  </si>
  <si>
    <t>venc.61</t>
  </si>
  <si>
    <t>venc.62</t>
  </si>
  <si>
    <t>Classificação Grupo A</t>
  </si>
  <si>
    <t>1ºA</t>
  </si>
  <si>
    <t>2ºA</t>
  </si>
  <si>
    <t>Aurea</t>
  </si>
  <si>
    <t>Claudio</t>
  </si>
  <si>
    <t>Flavio</t>
  </si>
  <si>
    <t>Laurindo</t>
  </si>
  <si>
    <t>Adriano</t>
  </si>
  <si>
    <t>Priscilla</t>
  </si>
  <si>
    <t>jogo1</t>
  </si>
  <si>
    <t>jogo2</t>
  </si>
  <si>
    <t>jogo3</t>
  </si>
  <si>
    <t>jogo4</t>
  </si>
  <si>
    <t>jogo5</t>
  </si>
  <si>
    <t>jogo6</t>
  </si>
  <si>
    <t>jogo7</t>
  </si>
  <si>
    <t>jogo8</t>
  </si>
  <si>
    <t>jogo9</t>
  </si>
  <si>
    <t>jogo10</t>
  </si>
  <si>
    <t>jogo11</t>
  </si>
  <si>
    <t>jogo12</t>
  </si>
  <si>
    <t>jogo13</t>
  </si>
  <si>
    <t>jogo14</t>
  </si>
  <si>
    <t>jogo15</t>
  </si>
  <si>
    <t>jogo16</t>
  </si>
  <si>
    <t>jogo17</t>
  </si>
  <si>
    <t>jogo18</t>
  </si>
  <si>
    <t>jogo19</t>
  </si>
  <si>
    <t>jogo20</t>
  </si>
  <si>
    <t>jogo21</t>
  </si>
  <si>
    <t>jogo22</t>
  </si>
  <si>
    <t>jogo23</t>
  </si>
  <si>
    <t>jogo24</t>
  </si>
  <si>
    <t>jogo25</t>
  </si>
  <si>
    <t>jogo26</t>
  </si>
  <si>
    <t>jogo27</t>
  </si>
  <si>
    <t>jogo28</t>
  </si>
  <si>
    <t>jogo29</t>
  </si>
  <si>
    <t>jogo30</t>
  </si>
  <si>
    <t>jogo31</t>
  </si>
  <si>
    <t>jogo32</t>
  </si>
  <si>
    <t>jogo33</t>
  </si>
  <si>
    <t>jogo34</t>
  </si>
  <si>
    <t>jogo35</t>
  </si>
  <si>
    <t>jogo36</t>
  </si>
  <si>
    <t>jogo37</t>
  </si>
  <si>
    <t>jogo38</t>
  </si>
  <si>
    <t>jogo39</t>
  </si>
  <si>
    <t>jogo40</t>
  </si>
  <si>
    <t>jogo41</t>
  </si>
  <si>
    <t>jogo42</t>
  </si>
  <si>
    <t>jogo43</t>
  </si>
  <si>
    <t>jogo44</t>
  </si>
  <si>
    <t>jogo45</t>
  </si>
  <si>
    <t>jogo46</t>
  </si>
  <si>
    <t>jogo47</t>
  </si>
  <si>
    <t>jogo48</t>
  </si>
  <si>
    <t>Resultado</t>
  </si>
  <si>
    <t>Ordem</t>
  </si>
  <si>
    <t>x x</t>
  </si>
  <si>
    <t>xx</t>
  </si>
  <si>
    <t>Time1</t>
  </si>
  <si>
    <t>Time2</t>
  </si>
  <si>
    <t>Palpiteiro</t>
  </si>
  <si>
    <t>1A</t>
  </si>
  <si>
    <t>2A</t>
  </si>
  <si>
    <t>3A</t>
  </si>
  <si>
    <t>4A</t>
  </si>
  <si>
    <t>5A</t>
  </si>
  <si>
    <t>6A</t>
  </si>
  <si>
    <t>1B</t>
  </si>
  <si>
    <t>2B</t>
  </si>
  <si>
    <t>3B</t>
  </si>
  <si>
    <t>4B</t>
  </si>
  <si>
    <t>5B</t>
  </si>
  <si>
    <t>6B</t>
  </si>
  <si>
    <t>1C</t>
  </si>
  <si>
    <t>2C</t>
  </si>
  <si>
    <t>3C</t>
  </si>
  <si>
    <t>4C</t>
  </si>
  <si>
    <t>5C</t>
  </si>
  <si>
    <t>6C</t>
  </si>
  <si>
    <t>1D</t>
  </si>
  <si>
    <t>2D</t>
  </si>
  <si>
    <t>3D</t>
  </si>
  <si>
    <t>4D</t>
  </si>
  <si>
    <t>5D</t>
  </si>
  <si>
    <t>6D</t>
  </si>
  <si>
    <t>1E</t>
  </si>
  <si>
    <t>2E</t>
  </si>
  <si>
    <t>3E</t>
  </si>
  <si>
    <t>4E</t>
  </si>
  <si>
    <t>5E</t>
  </si>
  <si>
    <t>6E</t>
  </si>
  <si>
    <t>1F</t>
  </si>
  <si>
    <t>2F</t>
  </si>
  <si>
    <t>3F</t>
  </si>
  <si>
    <t>4F</t>
  </si>
  <si>
    <t>5F</t>
  </si>
  <si>
    <t>6F</t>
  </si>
  <si>
    <t>1G</t>
  </si>
  <si>
    <t>2G</t>
  </si>
  <si>
    <t>3G</t>
  </si>
  <si>
    <t>4G</t>
  </si>
  <si>
    <t>5G</t>
  </si>
  <si>
    <t>6G</t>
  </si>
  <si>
    <t>1H</t>
  </si>
  <si>
    <t>2H</t>
  </si>
  <si>
    <t>3H</t>
  </si>
  <si>
    <t>4H</t>
  </si>
  <si>
    <t>5H</t>
  </si>
  <si>
    <t>6H</t>
  </si>
  <si>
    <t>Sílvia</t>
  </si>
  <si>
    <t>Datas</t>
  </si>
  <si>
    <t>20_nov</t>
  </si>
  <si>
    <t>21_nov</t>
  </si>
  <si>
    <t>25_nov</t>
  </si>
  <si>
    <t>29_nov</t>
  </si>
  <si>
    <t>22_nov</t>
  </si>
  <si>
    <t>26_nov</t>
  </si>
  <si>
    <t>30_nov</t>
  </si>
  <si>
    <t>23_nov</t>
  </si>
  <si>
    <t>27_nov</t>
  </si>
  <si>
    <t>24_nov</t>
  </si>
  <si>
    <t>28_nov</t>
  </si>
  <si>
    <t>01_dez</t>
  </si>
  <si>
    <t>02_dez</t>
  </si>
  <si>
    <t>gols1</t>
  </si>
  <si>
    <t>gols2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</si>
</sst>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General\º"/>
    <numFmt numFmtId="166" formatCode="00&quot;:&quot;00"/>
    <numFmt numFmtId="167" formatCode="h:mm"/>
  </numFmts>
  <fonts count="59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name val="Stylus BT"/>
      <family val="2"/>
    </font>
    <font>
      <sz val="10"/>
      <name val="Arial"/>
      <family val="2"/>
    </font>
    <font>
      <sz val="10"/>
      <name val="Tahoma"/>
      <family val="2"/>
    </font>
    <font>
      <b/>
      <sz val="10"/>
      <name val="Tahoma"/>
      <family val="2"/>
    </font>
    <font>
      <sz val="6"/>
      <name val="Tahoma"/>
      <family val="2"/>
    </font>
    <font>
      <b/>
      <sz val="8"/>
      <name val="Tahoma"/>
      <family val="2"/>
    </font>
    <font>
      <sz val="12"/>
      <name val="Calibri"/>
      <family val="2"/>
      <scheme val="minor"/>
    </font>
    <font>
      <b/>
      <sz val="18"/>
      <color indexed="9"/>
      <name val="BankGothic Lt BT"/>
      <family val="2"/>
    </font>
    <font>
      <b/>
      <sz val="18"/>
      <name val="BankGothic Lt BT"/>
      <family val="2"/>
    </font>
    <font>
      <b/>
      <sz val="12"/>
      <name val="Rockwell Extra Bold"/>
      <family val="1"/>
    </font>
    <font>
      <sz val="12"/>
      <color theme="1"/>
      <name val="Rockwell Extra Bold"/>
      <family val="1"/>
    </font>
    <font>
      <b/>
      <sz val="12"/>
      <color indexed="9"/>
      <name val="Rockwell Extra Bold"/>
      <family val="1"/>
    </font>
    <font>
      <sz val="12"/>
      <name val="Rockwell Extra Bold"/>
      <family val="1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36"/>
      <color theme="3"/>
      <name val="Arial"/>
      <family val="2"/>
    </font>
    <font>
      <b/>
      <sz val="11"/>
      <color theme="1"/>
      <name val="Calibri"/>
      <family val="2"/>
      <scheme val="minor"/>
    </font>
    <font>
      <b/>
      <sz val="10"/>
      <color theme="0"/>
      <name val="Tahoma"/>
      <family val="2"/>
    </font>
    <font>
      <b/>
      <sz val="26"/>
      <name val="Calibri"/>
      <family val="2"/>
      <scheme val="minor"/>
    </font>
    <font>
      <sz val="14"/>
      <name val="Calibri"/>
      <family val="2"/>
      <scheme val="minor"/>
    </font>
    <font>
      <b/>
      <sz val="12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0"/>
      <name val="Arial"/>
      <family val="2"/>
    </font>
    <font>
      <b/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b/>
      <sz val="10"/>
      <color theme="0"/>
      <name val="Arial"/>
      <family val="2"/>
    </font>
    <font>
      <b/>
      <sz val="18"/>
      <color theme="0"/>
      <name val="BankGothic Lt BT"/>
      <family val="2"/>
    </font>
    <font>
      <b/>
      <sz val="12"/>
      <color theme="0"/>
      <name val="BankGothic Lt BT"/>
      <family val="2"/>
    </font>
    <font>
      <b/>
      <sz val="6"/>
      <color theme="0"/>
      <name val="Tahoma"/>
      <family val="2"/>
    </font>
    <font>
      <sz val="6"/>
      <color theme="0"/>
      <name val="Tahoma"/>
      <family val="2"/>
    </font>
    <font>
      <b/>
      <sz val="14"/>
      <color theme="0"/>
      <name val="Calibri"/>
      <family val="2"/>
      <scheme val="minor"/>
    </font>
    <font>
      <b/>
      <sz val="20"/>
      <color theme="0"/>
      <name val="Stencil"/>
      <family val="5"/>
    </font>
    <font>
      <sz val="8"/>
      <name val="Calibri"/>
      <family val="2"/>
      <scheme val="minor"/>
    </font>
    <font>
      <sz val="9"/>
      <name val="Arial"/>
      <family val="2"/>
    </font>
    <font>
      <sz val="10"/>
      <color theme="0"/>
      <name val="Tahoma"/>
      <family val="2"/>
    </font>
    <font>
      <b/>
      <sz val="20"/>
      <color theme="0"/>
      <name val="Tahoma"/>
      <family val="2"/>
    </font>
    <font>
      <b/>
      <sz val="26"/>
      <color theme="0"/>
      <name val="Stencil"/>
      <family val="5"/>
    </font>
    <font>
      <sz val="9.3000000000000007"/>
      <color theme="0"/>
      <name val="Arial"/>
      <family val="2"/>
    </font>
    <font>
      <b/>
      <sz val="12"/>
      <color theme="0"/>
      <name val="Stylus BT"/>
      <family val="2"/>
    </font>
    <font>
      <sz val="10"/>
      <color theme="0"/>
      <name val="Stylus BT"/>
      <family val="2"/>
    </font>
    <font>
      <sz val="12"/>
      <color theme="0"/>
      <name val="Stylus BT"/>
      <family val="2"/>
    </font>
    <font>
      <b/>
      <sz val="8"/>
      <color theme="0"/>
      <name val="Tahoma"/>
      <family val="2"/>
    </font>
    <font>
      <b/>
      <sz val="10"/>
      <color theme="0"/>
      <name val="Stencil"/>
      <family val="5"/>
    </font>
    <font>
      <b/>
      <sz val="14"/>
      <color theme="0"/>
      <name val="Tahoma"/>
      <family val="2"/>
    </font>
    <font>
      <b/>
      <sz val="9"/>
      <color theme="0"/>
      <name val="Tahoma"/>
      <family val="2"/>
    </font>
    <font>
      <sz val="8"/>
      <color theme="0"/>
      <name val="Arial"/>
      <family val="2"/>
    </font>
    <font>
      <sz val="9"/>
      <color theme="0"/>
      <name val="Tahoma"/>
      <family val="2"/>
    </font>
    <font>
      <b/>
      <sz val="11"/>
      <color theme="0"/>
      <name val="Tahoma"/>
      <family val="2"/>
    </font>
    <font>
      <b/>
      <i/>
      <sz val="8"/>
      <color theme="0"/>
      <name val="Tahoma"/>
      <family val="2"/>
    </font>
    <font>
      <sz val="10"/>
      <color theme="0"/>
      <name val="Arial"/>
      <family val="2"/>
    </font>
    <font>
      <b/>
      <sz val="14"/>
      <name val="Calibri"/>
      <family val="2"/>
      <scheme val="minor"/>
    </font>
    <font>
      <b/>
      <sz val="12"/>
      <color theme="1"/>
      <name val="Rockwell"/>
      <family val="1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FF"/>
        <bgColor indexed="64"/>
      </patternFill>
    </fill>
  </fills>
  <borders count="128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medium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medium">
        <color auto="1"/>
      </left>
      <right/>
      <top style="hair">
        <color auto="1"/>
      </top>
      <bottom style="hair">
        <color auto="1"/>
      </bottom>
      <diagonal/>
    </border>
    <border>
      <left/>
      <right style="medium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hair">
        <color auto="1"/>
      </top>
      <bottom style="medium">
        <color auto="1"/>
      </bottom>
      <diagonal/>
    </border>
    <border>
      <left/>
      <right style="medium">
        <color auto="1"/>
      </right>
      <top style="hair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hair">
        <color auto="1"/>
      </bottom>
      <diagonal/>
    </border>
    <border>
      <left/>
      <right/>
      <top style="medium">
        <color auto="1"/>
      </top>
      <bottom style="hair">
        <color auto="1"/>
      </bottom>
      <diagonal/>
    </border>
    <border>
      <left/>
      <right style="medium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/>
      <top style="medium">
        <color auto="1"/>
      </top>
      <bottom style="hair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/>
      <bottom style="medium">
        <color auto="1"/>
      </bottom>
      <diagonal/>
    </border>
    <border>
      <left style="hair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dashed">
        <color auto="1"/>
      </bottom>
      <diagonal/>
    </border>
    <border>
      <left/>
      <right/>
      <top style="dashed">
        <color auto="1"/>
      </top>
      <bottom style="dashed">
        <color auto="1"/>
      </bottom>
      <diagonal/>
    </border>
    <border>
      <left/>
      <right/>
      <top style="dashed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dashed">
        <color auto="1"/>
      </bottom>
      <diagonal/>
    </border>
    <border>
      <left/>
      <right style="medium">
        <color auto="1"/>
      </right>
      <top style="medium">
        <color auto="1"/>
      </top>
      <bottom style="dashed">
        <color auto="1"/>
      </bottom>
      <diagonal/>
    </border>
    <border>
      <left style="medium">
        <color auto="1"/>
      </left>
      <right/>
      <top style="dashed">
        <color auto="1"/>
      </top>
      <bottom style="dashed">
        <color auto="1"/>
      </bottom>
      <diagonal/>
    </border>
    <border>
      <left/>
      <right style="medium">
        <color auto="1"/>
      </right>
      <top style="dashed">
        <color auto="1"/>
      </top>
      <bottom style="dashed">
        <color auto="1"/>
      </bottom>
      <diagonal/>
    </border>
    <border>
      <left style="medium">
        <color auto="1"/>
      </left>
      <right/>
      <top style="dashed">
        <color auto="1"/>
      </top>
      <bottom style="medium">
        <color auto="1"/>
      </bottom>
      <diagonal/>
    </border>
    <border>
      <left/>
      <right style="medium">
        <color auto="1"/>
      </right>
      <top style="dashed">
        <color auto="1"/>
      </top>
      <bottom style="medium">
        <color auto="1"/>
      </bottom>
      <diagonal/>
    </border>
    <border>
      <left style="hair">
        <color auto="1"/>
      </left>
      <right/>
      <top/>
      <bottom style="medium">
        <color auto="1"/>
      </bottom>
      <diagonal/>
    </border>
    <border>
      <left style="medium">
        <color auto="1"/>
      </left>
      <right/>
      <top style="hair">
        <color auto="1"/>
      </top>
      <bottom/>
      <diagonal/>
    </border>
    <border>
      <left/>
      <right style="medium">
        <color auto="1"/>
      </right>
      <top style="hair">
        <color auto="1"/>
      </top>
      <bottom/>
      <diagonal/>
    </border>
    <border>
      <left/>
      <right/>
      <top style="hair">
        <color auto="1"/>
      </top>
      <bottom style="medium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 style="hair">
        <color auto="1"/>
      </top>
      <bottom/>
      <diagonal/>
    </border>
    <border>
      <left style="medium">
        <color rgb="FF339933"/>
      </left>
      <right/>
      <top style="medium">
        <color rgb="FF339933"/>
      </top>
      <bottom/>
      <diagonal/>
    </border>
    <border>
      <left style="medium">
        <color rgb="FF339933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medium">
        <color rgb="FF339933"/>
      </right>
      <top style="thin">
        <color indexed="22"/>
      </top>
      <bottom style="thin">
        <color indexed="22"/>
      </bottom>
      <diagonal/>
    </border>
    <border>
      <left style="medium">
        <color rgb="FF339933"/>
      </left>
      <right style="thin">
        <color indexed="22"/>
      </right>
      <top style="thin">
        <color indexed="22"/>
      </top>
      <bottom style="medium">
        <color rgb="FF33993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medium">
        <color rgb="FF339933"/>
      </bottom>
      <diagonal/>
    </border>
    <border>
      <left style="thin">
        <color indexed="22"/>
      </left>
      <right style="medium">
        <color rgb="FF339933"/>
      </right>
      <top style="thin">
        <color indexed="22"/>
      </top>
      <bottom style="medium">
        <color rgb="FF339933"/>
      </bottom>
      <diagonal/>
    </border>
    <border>
      <left/>
      <right/>
      <top style="medium">
        <color rgb="FF339933"/>
      </top>
      <bottom style="thin">
        <color indexed="22"/>
      </bottom>
      <diagonal/>
    </border>
    <border>
      <left/>
      <right/>
      <top style="medium">
        <color rgb="FF339933"/>
      </top>
      <bottom/>
      <diagonal/>
    </border>
    <border>
      <left/>
      <right style="medium">
        <color rgb="FF339933"/>
      </right>
      <top style="medium">
        <color rgb="FF339933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 style="double">
        <color auto="1"/>
      </bottom>
      <diagonal/>
    </border>
    <border>
      <left style="medium">
        <color auto="1"/>
      </left>
      <right/>
      <top/>
      <bottom style="double">
        <color auto="1"/>
      </bottom>
      <diagonal/>
    </border>
    <border>
      <left/>
      <right style="medium">
        <color auto="1"/>
      </right>
      <top/>
      <bottom style="double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medium">
        <color auto="1"/>
      </left>
      <right style="hair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ck">
        <color rgb="FF000000"/>
      </top>
      <bottom style="dotted">
        <color rgb="FF000000"/>
      </bottom>
      <diagonal/>
    </border>
    <border>
      <left/>
      <right/>
      <top/>
      <bottom style="dotted">
        <color rgb="FF000000"/>
      </bottom>
      <diagonal/>
    </border>
    <border>
      <left/>
      <right/>
      <top/>
      <bottom style="thick">
        <color rgb="FF000000"/>
      </bottom>
      <diagonal/>
    </border>
  </borders>
  <cellStyleXfs count="5">
    <xf numFmtId="0" fontId="0" fillId="0" borderId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</cellStyleXfs>
  <cellXfs count="587">
    <xf numFmtId="0" fontId="0" fillId="0" borderId="0" xfId="0"/>
    <xf numFmtId="0" fontId="0" fillId="3" borderId="0" xfId="0" applyFill="1"/>
    <xf numFmtId="0" fontId="3" fillId="3" borderId="0" xfId="0" applyFont="1" applyFill="1" applyAlignment="1">
      <alignment horizontal="center"/>
    </xf>
    <xf numFmtId="0" fontId="8" fillId="3" borderId="0" xfId="0" applyFont="1" applyFill="1" applyAlignment="1">
      <alignment horizontal="right"/>
    </xf>
    <xf numFmtId="0" fontId="8" fillId="3" borderId="0" xfId="0" applyFont="1" applyFill="1"/>
    <xf numFmtId="0" fontId="0" fillId="3" borderId="0" xfId="0" applyFill="1" applyAlignment="1">
      <alignment horizontal="center"/>
    </xf>
    <xf numFmtId="0" fontId="6" fillId="3" borderId="0" xfId="0" applyFont="1" applyFill="1" applyProtection="1">
      <protection hidden="1"/>
    </xf>
    <xf numFmtId="0" fontId="0" fillId="3" borderId="31" xfId="0" applyFill="1" applyBorder="1" applyAlignment="1">
      <alignment horizontal="center"/>
    </xf>
    <xf numFmtId="0" fontId="0" fillId="3" borderId="31" xfId="0" applyFill="1" applyBorder="1"/>
    <xf numFmtId="0" fontId="0" fillId="0" borderId="31" xfId="0" applyBorder="1"/>
    <xf numFmtId="0" fontId="3" fillId="0" borderId="0" xfId="0" applyFont="1" applyAlignment="1">
      <alignment horizontal="center"/>
    </xf>
    <xf numFmtId="0" fontId="8" fillId="0" borderId="0" xfId="0" applyFont="1" applyAlignment="1">
      <alignment horizontal="right"/>
    </xf>
    <xf numFmtId="0" fontId="8" fillId="0" borderId="0" xfId="0" applyFont="1"/>
    <xf numFmtId="0" fontId="3" fillId="0" borderId="31" xfId="0" applyFont="1" applyBorder="1" applyAlignment="1">
      <alignment horizontal="center"/>
    </xf>
    <xf numFmtId="0" fontId="8" fillId="0" borderId="31" xfId="0" applyFont="1" applyBorder="1" applyAlignment="1">
      <alignment horizontal="right"/>
    </xf>
    <xf numFmtId="0" fontId="8" fillId="0" borderId="31" xfId="0" applyFont="1" applyBorder="1"/>
    <xf numFmtId="0" fontId="11" fillId="2" borderId="78" xfId="0" applyFont="1" applyFill="1" applyBorder="1" applyAlignment="1" applyProtection="1">
      <alignment vertical="center"/>
      <protection locked="0"/>
    </xf>
    <xf numFmtId="0" fontId="11" fillId="2" borderId="79" xfId="0" applyFont="1" applyFill="1" applyBorder="1" applyAlignment="1" applyProtection="1">
      <alignment vertical="center"/>
      <protection locked="0"/>
    </xf>
    <xf numFmtId="0" fontId="11" fillId="2" borderId="80" xfId="0" applyFont="1" applyFill="1" applyBorder="1" applyAlignment="1" applyProtection="1">
      <alignment vertical="center"/>
      <protection locked="0"/>
    </xf>
    <xf numFmtId="0" fontId="8" fillId="0" borderId="64" xfId="0" applyFont="1" applyBorder="1" applyAlignment="1" applyProtection="1">
      <alignment horizontal="right" vertical="center"/>
      <protection hidden="1"/>
    </xf>
    <xf numFmtId="0" fontId="9" fillId="3" borderId="0" xfId="0" applyFont="1" applyFill="1" applyAlignment="1" applyProtection="1">
      <alignment vertical="center"/>
      <protection hidden="1"/>
    </xf>
    <xf numFmtId="0" fontId="7" fillId="2" borderId="69" xfId="0" applyFont="1" applyFill="1" applyBorder="1" applyAlignment="1" applyProtection="1">
      <alignment horizontal="center" vertical="center"/>
      <protection locked="0"/>
    </xf>
    <xf numFmtId="0" fontId="7" fillId="2" borderId="70" xfId="0" applyFont="1" applyFill="1" applyBorder="1" applyAlignment="1" applyProtection="1">
      <alignment horizontal="center" vertical="center"/>
      <protection locked="0"/>
    </xf>
    <xf numFmtId="0" fontId="4" fillId="2" borderId="44" xfId="0" applyFont="1" applyFill="1" applyBorder="1" applyAlignment="1" applyProtection="1">
      <alignment horizontal="center" vertical="center"/>
      <protection hidden="1"/>
    </xf>
    <xf numFmtId="0" fontId="7" fillId="2" borderId="72" xfId="0" applyFont="1" applyFill="1" applyBorder="1" applyAlignment="1" applyProtection="1">
      <alignment horizontal="center" vertical="center"/>
      <protection locked="0"/>
    </xf>
    <xf numFmtId="0" fontId="7" fillId="2" borderId="62" xfId="0" applyFont="1" applyFill="1" applyBorder="1" applyAlignment="1" applyProtection="1">
      <alignment horizontal="center" vertical="center"/>
      <protection locked="0"/>
    </xf>
    <xf numFmtId="0" fontId="7" fillId="2" borderId="37" xfId="0" applyFont="1" applyFill="1" applyBorder="1" applyAlignment="1" applyProtection="1">
      <alignment horizontal="center" vertical="center"/>
      <protection locked="0"/>
    </xf>
    <xf numFmtId="0" fontId="7" fillId="2" borderId="57" xfId="0" applyFont="1" applyFill="1" applyBorder="1" applyAlignment="1" applyProtection="1">
      <alignment horizontal="center" vertical="center"/>
      <protection locked="0"/>
    </xf>
    <xf numFmtId="0" fontId="7" fillId="2" borderId="29" xfId="0" applyFont="1" applyFill="1" applyBorder="1" applyAlignment="1" applyProtection="1">
      <alignment horizontal="center" vertical="center"/>
      <protection locked="0"/>
    </xf>
    <xf numFmtId="0" fontId="7" fillId="2" borderId="58" xfId="0" applyFont="1" applyFill="1" applyBorder="1" applyAlignment="1" applyProtection="1">
      <alignment horizontal="center" vertical="center"/>
      <protection locked="0"/>
    </xf>
    <xf numFmtId="0" fontId="7" fillId="2" borderId="30" xfId="0" applyFont="1" applyFill="1" applyBorder="1" applyAlignment="1" applyProtection="1">
      <alignment horizontal="center" vertical="center"/>
      <protection locked="0"/>
    </xf>
    <xf numFmtId="0" fontId="7" fillId="2" borderId="74" xfId="0" applyFont="1" applyFill="1" applyBorder="1" applyAlignment="1" applyProtection="1">
      <alignment horizontal="center" vertical="center"/>
      <protection locked="0"/>
    </xf>
    <xf numFmtId="0" fontId="7" fillId="2" borderId="75" xfId="0" applyFont="1" applyFill="1" applyBorder="1" applyAlignment="1" applyProtection="1">
      <alignment horizontal="center" vertical="center"/>
      <protection locked="0"/>
    </xf>
    <xf numFmtId="0" fontId="7" fillId="2" borderId="61" xfId="0" applyFont="1" applyFill="1" applyBorder="1" applyAlignment="1" applyProtection="1">
      <alignment horizontal="center" vertical="center"/>
      <protection locked="0"/>
    </xf>
    <xf numFmtId="0" fontId="7" fillId="2" borderId="32" xfId="0" applyFont="1" applyFill="1" applyBorder="1" applyAlignment="1" applyProtection="1">
      <alignment horizontal="center" vertical="center"/>
      <protection locked="0"/>
    </xf>
    <xf numFmtId="0" fontId="7" fillId="2" borderId="54" xfId="0" applyFont="1" applyFill="1" applyBorder="1" applyAlignment="1" applyProtection="1">
      <alignment horizontal="center" vertical="center"/>
      <protection locked="0"/>
    </xf>
    <xf numFmtId="0" fontId="7" fillId="2" borderId="76" xfId="0" applyFont="1" applyFill="1" applyBorder="1" applyAlignment="1" applyProtection="1">
      <alignment horizontal="center" vertical="center"/>
      <protection locked="0"/>
    </xf>
    <xf numFmtId="0" fontId="7" fillId="2" borderId="63" xfId="0" applyFont="1" applyFill="1" applyBorder="1" applyAlignment="1" applyProtection="1">
      <alignment horizontal="center" vertical="center"/>
      <protection locked="0"/>
    </xf>
    <xf numFmtId="0" fontId="6" fillId="3" borderId="0" xfId="0" applyFont="1" applyFill="1" applyAlignment="1" applyProtection="1">
      <alignment vertical="center"/>
      <protection hidden="1"/>
    </xf>
    <xf numFmtId="0" fontId="7" fillId="2" borderId="77" xfId="0" applyFont="1" applyFill="1" applyBorder="1" applyAlignment="1" applyProtection="1">
      <alignment horizontal="center" vertical="center"/>
      <protection locked="0"/>
    </xf>
    <xf numFmtId="0" fontId="12" fillId="3" borderId="0" xfId="0" applyFont="1" applyFill="1"/>
    <xf numFmtId="0" fontId="13" fillId="3" borderId="0" xfId="0" applyFont="1" applyFill="1" applyAlignment="1" applyProtection="1">
      <alignment vertical="center"/>
      <protection hidden="1"/>
    </xf>
    <xf numFmtId="0" fontId="12" fillId="0" borderId="0" xfId="0" applyFont="1"/>
    <xf numFmtId="0" fontId="12" fillId="0" borderId="31" xfId="0" applyFont="1" applyBorder="1"/>
    <xf numFmtId="0" fontId="0" fillId="3" borderId="4" xfId="0" applyFill="1" applyBorder="1" applyAlignment="1">
      <alignment horizontal="center"/>
    </xf>
    <xf numFmtId="0" fontId="6" fillId="3" borderId="4" xfId="0" applyFont="1" applyFill="1" applyBorder="1" applyAlignment="1" applyProtection="1">
      <alignment vertical="center"/>
      <protection hidden="1"/>
    </xf>
    <xf numFmtId="0" fontId="11" fillId="2" borderId="40" xfId="0" applyFont="1" applyFill="1" applyBorder="1" applyAlignment="1" applyProtection="1">
      <alignment vertical="center"/>
      <protection locked="0"/>
    </xf>
    <xf numFmtId="0" fontId="2" fillId="3" borderId="40" xfId="0" applyFont="1" applyFill="1" applyBorder="1" applyAlignment="1" applyProtection="1">
      <alignment horizontal="center" vertical="center"/>
      <protection hidden="1"/>
    </xf>
    <xf numFmtId="0" fontId="2" fillId="3" borderId="78" xfId="0" applyFont="1" applyFill="1" applyBorder="1" applyAlignment="1" applyProtection="1">
      <alignment horizontal="center" vertical="center"/>
      <protection hidden="1"/>
    </xf>
    <xf numFmtId="0" fontId="11" fillId="3" borderId="40" xfId="0" applyFont="1" applyFill="1" applyBorder="1" applyAlignment="1" applyProtection="1">
      <alignment horizontal="center" vertical="center"/>
      <protection hidden="1"/>
    </xf>
    <xf numFmtId="0" fontId="15" fillId="3" borderId="0" xfId="0" applyFont="1" applyFill="1"/>
    <xf numFmtId="0" fontId="15" fillId="0" borderId="0" xfId="0" applyFont="1"/>
    <xf numFmtId="0" fontId="15" fillId="0" borderId="0" xfId="0" applyFont="1" applyAlignment="1">
      <alignment vertical="center"/>
    </xf>
    <xf numFmtId="0" fontId="10" fillId="3" borderId="0" xfId="0" applyFont="1" applyFill="1" applyAlignment="1" applyProtection="1">
      <alignment vertical="center"/>
      <protection hidden="1"/>
    </xf>
    <xf numFmtId="0" fontId="15" fillId="0" borderId="31" xfId="0" applyFont="1" applyBorder="1"/>
    <xf numFmtId="0" fontId="2" fillId="3" borderId="79" xfId="0" applyFont="1" applyFill="1" applyBorder="1" applyAlignment="1" applyProtection="1">
      <alignment horizontal="center" vertical="center"/>
      <protection hidden="1"/>
    </xf>
    <xf numFmtId="0" fontId="2" fillId="3" borderId="80" xfId="0" applyFont="1" applyFill="1" applyBorder="1" applyAlignment="1" applyProtection="1">
      <alignment horizontal="center" vertical="center"/>
      <protection hidden="1"/>
    </xf>
    <xf numFmtId="0" fontId="0" fillId="3" borderId="0" xfId="0" applyFill="1" applyProtection="1">
      <protection hidden="1"/>
    </xf>
    <xf numFmtId="0" fontId="0" fillId="0" borderId="0" xfId="0" applyProtection="1">
      <protection hidden="1"/>
    </xf>
    <xf numFmtId="0" fontId="0" fillId="3" borderId="0" xfId="0" applyFill="1" applyAlignment="1" applyProtection="1">
      <alignment horizontal="center"/>
      <protection hidden="1"/>
    </xf>
    <xf numFmtId="0" fontId="0" fillId="0" borderId="0" xfId="0" applyAlignment="1" applyProtection="1">
      <alignment vertical="center"/>
      <protection hidden="1"/>
    </xf>
    <xf numFmtId="0" fontId="0" fillId="0" borderId="31" xfId="0" applyBorder="1" applyAlignment="1" applyProtection="1">
      <alignment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0" fillId="3" borderId="0" xfId="0" applyFill="1" applyAlignment="1" applyProtection="1">
      <alignment horizontal="center" vertical="center"/>
      <protection hidden="1"/>
    </xf>
    <xf numFmtId="0" fontId="8" fillId="2" borderId="81" xfId="0" applyFont="1" applyFill="1" applyBorder="1" applyAlignment="1" applyProtection="1">
      <alignment horizontal="right" vertical="center"/>
      <protection hidden="1"/>
    </xf>
    <xf numFmtId="0" fontId="8" fillId="2" borderId="82" xfId="0" applyFont="1" applyFill="1" applyBorder="1" applyAlignment="1" applyProtection="1">
      <alignment horizontal="left" vertical="center"/>
      <protection hidden="1"/>
    </xf>
    <xf numFmtId="0" fontId="8" fillId="2" borderId="83" xfId="0" applyFont="1" applyFill="1" applyBorder="1" applyAlignment="1" applyProtection="1">
      <alignment horizontal="right" vertical="center"/>
      <protection hidden="1"/>
    </xf>
    <xf numFmtId="0" fontId="8" fillId="2" borderId="84" xfId="0" applyFont="1" applyFill="1" applyBorder="1" applyAlignment="1" applyProtection="1">
      <alignment horizontal="left" vertical="center"/>
      <protection hidden="1"/>
    </xf>
    <xf numFmtId="0" fontId="8" fillId="2" borderId="85" xfId="0" applyFont="1" applyFill="1" applyBorder="1" applyAlignment="1" applyProtection="1">
      <alignment horizontal="right" vertical="center"/>
      <protection hidden="1"/>
    </xf>
    <xf numFmtId="0" fontId="8" fillId="2" borderId="86" xfId="0" applyFont="1" applyFill="1" applyBorder="1" applyAlignment="1" applyProtection="1">
      <alignment horizontal="left" vertical="center"/>
      <protection hidden="1"/>
    </xf>
    <xf numFmtId="0" fontId="8" fillId="2" borderId="39" xfId="0" applyFont="1" applyFill="1" applyBorder="1" applyAlignment="1" applyProtection="1">
      <alignment horizontal="right" vertical="center"/>
      <protection hidden="1"/>
    </xf>
    <xf numFmtId="0" fontId="8" fillId="2" borderId="41" xfId="0" applyFont="1" applyFill="1" applyBorder="1" applyAlignment="1" applyProtection="1">
      <alignment horizontal="left" vertical="center"/>
      <protection hidden="1"/>
    </xf>
    <xf numFmtId="0" fontId="14" fillId="2" borderId="39" xfId="0" applyFont="1" applyFill="1" applyBorder="1" applyAlignment="1" applyProtection="1">
      <alignment horizontal="right" vertical="center"/>
      <protection hidden="1"/>
    </xf>
    <xf numFmtId="0" fontId="14" fillId="2" borderId="41" xfId="0" applyFont="1" applyFill="1" applyBorder="1" applyAlignment="1" applyProtection="1">
      <alignment horizontal="left" vertical="center"/>
      <protection hidden="1"/>
    </xf>
    <xf numFmtId="0" fontId="8" fillId="0" borderId="23" xfId="0" applyFont="1" applyBorder="1" applyAlignment="1" applyProtection="1">
      <alignment horizontal="right" vertical="center"/>
      <protection hidden="1"/>
    </xf>
    <xf numFmtId="0" fontId="11" fillId="2" borderId="24" xfId="0" applyFont="1" applyFill="1" applyBorder="1" applyAlignment="1" applyProtection="1">
      <alignment vertical="center"/>
      <protection locked="0"/>
    </xf>
    <xf numFmtId="0" fontId="2" fillId="2" borderId="24" xfId="0" applyFont="1" applyFill="1" applyBorder="1" applyAlignment="1" applyProtection="1">
      <alignment vertical="center"/>
      <protection hidden="1"/>
    </xf>
    <xf numFmtId="0" fontId="8" fillId="0" borderId="25" xfId="0" applyFont="1" applyBorder="1" applyAlignment="1" applyProtection="1">
      <alignment vertical="center"/>
      <protection hidden="1"/>
    </xf>
    <xf numFmtId="0" fontId="8" fillId="0" borderId="16" xfId="0" applyFont="1" applyBorder="1" applyAlignment="1" applyProtection="1">
      <alignment horizontal="right" vertical="center"/>
      <protection hidden="1"/>
    </xf>
    <xf numFmtId="0" fontId="11" fillId="2" borderId="91" xfId="0" applyFont="1" applyFill="1" applyBorder="1" applyAlignment="1" applyProtection="1">
      <alignment vertical="center"/>
      <protection locked="0"/>
    </xf>
    <xf numFmtId="0" fontId="2" fillId="2" borderId="91" xfId="0" applyFont="1" applyFill="1" applyBorder="1" applyAlignment="1" applyProtection="1">
      <alignment vertical="center"/>
      <protection hidden="1"/>
    </xf>
    <xf numFmtId="0" fontId="8" fillId="0" borderId="17" xfId="0" applyFont="1" applyBorder="1" applyAlignment="1" applyProtection="1">
      <alignment vertical="center"/>
      <protection hidden="1"/>
    </xf>
    <xf numFmtId="0" fontId="8" fillId="0" borderId="12" xfId="0" applyFont="1" applyBorder="1" applyAlignment="1" applyProtection="1">
      <alignment horizontal="right" vertical="center"/>
      <protection hidden="1"/>
    </xf>
    <xf numFmtId="0" fontId="11" fillId="2" borderId="13" xfId="0" applyFont="1" applyFill="1" applyBorder="1" applyAlignment="1" applyProtection="1">
      <alignment vertical="center"/>
      <protection locked="0"/>
    </xf>
    <xf numFmtId="0" fontId="2" fillId="2" borderId="13" xfId="0" applyFont="1" applyFill="1" applyBorder="1" applyAlignment="1" applyProtection="1">
      <alignment vertical="center"/>
      <protection hidden="1"/>
    </xf>
    <xf numFmtId="0" fontId="8" fillId="0" borderId="14" xfId="0" applyFont="1" applyBorder="1" applyAlignment="1" applyProtection="1">
      <alignment vertical="center"/>
      <protection hidden="1"/>
    </xf>
    <xf numFmtId="0" fontId="8" fillId="0" borderId="20" xfId="0" applyFont="1" applyBorder="1" applyAlignment="1" applyProtection="1">
      <alignment horizontal="right" vertical="center"/>
      <protection hidden="1"/>
    </xf>
    <xf numFmtId="0" fontId="11" fillId="2" borderId="90" xfId="0" applyFont="1" applyFill="1" applyBorder="1" applyAlignment="1" applyProtection="1">
      <alignment vertical="center"/>
      <protection locked="0"/>
    </xf>
    <xf numFmtId="0" fontId="2" fillId="2" borderId="90" xfId="0" applyFont="1" applyFill="1" applyBorder="1" applyAlignment="1" applyProtection="1">
      <alignment vertical="center"/>
      <protection hidden="1"/>
    </xf>
    <xf numFmtId="0" fontId="8" fillId="0" borderId="21" xfId="0" applyFont="1" applyBorder="1" applyAlignment="1" applyProtection="1">
      <alignment vertical="center"/>
      <protection hidden="1"/>
    </xf>
    <xf numFmtId="0" fontId="8" fillId="0" borderId="88" xfId="0" applyFont="1" applyBorder="1" applyAlignment="1" applyProtection="1">
      <alignment horizontal="right" vertical="center"/>
      <protection hidden="1"/>
    </xf>
    <xf numFmtId="0" fontId="11" fillId="2" borderId="94" xfId="0" applyFont="1" applyFill="1" applyBorder="1" applyAlignment="1" applyProtection="1">
      <alignment vertical="center"/>
      <protection locked="0"/>
    </xf>
    <xf numFmtId="0" fontId="2" fillId="2" borderId="94" xfId="0" applyFont="1" applyFill="1" applyBorder="1" applyAlignment="1" applyProtection="1">
      <alignment vertical="center"/>
      <protection hidden="1"/>
    </xf>
    <xf numFmtId="0" fontId="8" fillId="0" borderId="89" xfId="0" applyFont="1" applyBorder="1" applyAlignment="1" applyProtection="1">
      <alignment vertical="center"/>
      <protection hidden="1"/>
    </xf>
    <xf numFmtId="0" fontId="0" fillId="3" borderId="0" xfId="0" applyFill="1" applyAlignment="1" applyProtection="1">
      <alignment vertical="center"/>
      <protection hidden="1"/>
    </xf>
    <xf numFmtId="0" fontId="0" fillId="3" borderId="5" xfId="0" applyFill="1" applyBorder="1" applyAlignment="1" applyProtection="1">
      <alignment horizontal="center" vertical="center"/>
      <protection hidden="1"/>
    </xf>
    <xf numFmtId="0" fontId="0" fillId="3" borderId="105" xfId="0" applyFill="1" applyBorder="1" applyAlignment="1" applyProtection="1">
      <alignment horizontal="center" vertical="center"/>
      <protection hidden="1"/>
    </xf>
    <xf numFmtId="0" fontId="0" fillId="3" borderId="107" xfId="0" applyFill="1" applyBorder="1" applyAlignment="1" applyProtection="1">
      <alignment horizontal="center" vertical="center"/>
      <protection hidden="1"/>
    </xf>
    <xf numFmtId="0" fontId="0" fillId="3" borderId="92" xfId="0" applyFill="1" applyBorder="1" applyAlignment="1" applyProtection="1">
      <alignment horizontal="center" vertical="center"/>
      <protection hidden="1"/>
    </xf>
    <xf numFmtId="0" fontId="0" fillId="3" borderId="93" xfId="0" applyFill="1" applyBorder="1" applyAlignment="1" applyProtection="1">
      <alignment horizontal="center" vertical="center"/>
      <protection hidden="1"/>
    </xf>
    <xf numFmtId="0" fontId="0" fillId="3" borderId="0" xfId="0" applyFill="1" applyAlignment="1" applyProtection="1">
      <alignment horizontal="left" vertical="center"/>
      <protection hidden="1"/>
    </xf>
    <xf numFmtId="0" fontId="0" fillId="3" borderId="2" xfId="0" applyFill="1" applyBorder="1" applyAlignment="1" applyProtection="1">
      <alignment horizontal="center" vertical="center"/>
      <protection hidden="1"/>
    </xf>
    <xf numFmtId="0" fontId="0" fillId="3" borderId="3" xfId="0" applyFill="1" applyBorder="1" applyAlignment="1" applyProtection="1">
      <alignment horizontal="center" vertical="center"/>
      <protection hidden="1"/>
    </xf>
    <xf numFmtId="0" fontId="0" fillId="3" borderId="4" xfId="0" applyFill="1" applyBorder="1" applyAlignment="1" applyProtection="1">
      <alignment horizontal="center" vertical="center"/>
      <protection hidden="1"/>
    </xf>
    <xf numFmtId="0" fontId="0" fillId="3" borderId="64" xfId="0" applyFill="1" applyBorder="1" applyAlignment="1" applyProtection="1">
      <alignment horizontal="center" vertical="center"/>
      <protection hidden="1"/>
    </xf>
    <xf numFmtId="0" fontId="0" fillId="3" borderId="92" xfId="0" applyFill="1" applyBorder="1" applyAlignment="1" applyProtection="1">
      <alignment horizontal="left" vertical="center"/>
      <protection hidden="1"/>
    </xf>
    <xf numFmtId="0" fontId="0" fillId="3" borderId="106" xfId="0" applyFill="1" applyBorder="1" applyAlignment="1" applyProtection="1">
      <alignment horizontal="center" vertical="center"/>
      <protection hidden="1"/>
    </xf>
    <xf numFmtId="0" fontId="0" fillId="3" borderId="105" xfId="0" applyFill="1" applyBorder="1" applyAlignment="1" applyProtection="1">
      <alignment horizontal="left" vertical="center"/>
      <protection hidden="1"/>
    </xf>
    <xf numFmtId="0" fontId="18" fillId="3" borderId="0" xfId="0" applyFont="1" applyFill="1" applyAlignment="1" applyProtection="1">
      <alignment vertical="center"/>
      <protection hidden="1"/>
    </xf>
    <xf numFmtId="0" fontId="0" fillId="3" borderId="0" xfId="0" applyFill="1" applyAlignment="1">
      <alignment horizontal="center" vertical="center"/>
    </xf>
    <xf numFmtId="0" fontId="0" fillId="3" borderId="31" xfId="0" applyFill="1" applyBorder="1" applyAlignment="1">
      <alignment horizontal="center" vertical="center"/>
    </xf>
    <xf numFmtId="0" fontId="0" fillId="3" borderId="1" xfId="0" applyFill="1" applyBorder="1" applyAlignment="1" applyProtection="1">
      <alignment horizontal="center" vertical="center"/>
      <protection hidden="1"/>
    </xf>
    <xf numFmtId="0" fontId="0" fillId="3" borderId="2" xfId="0" applyFill="1" applyBorder="1" applyAlignment="1" applyProtection="1">
      <alignment horizontal="left" vertical="center"/>
      <protection hidden="1"/>
    </xf>
    <xf numFmtId="0" fontId="0" fillId="3" borderId="0" xfId="0" applyFill="1" applyAlignment="1">
      <alignment horizontal="left" vertical="center"/>
    </xf>
    <xf numFmtId="0" fontId="0" fillId="3" borderId="31" xfId="0" applyFill="1" applyBorder="1" applyAlignment="1">
      <alignment horizontal="left" vertical="center"/>
    </xf>
    <xf numFmtId="0" fontId="16" fillId="3" borderId="0" xfId="0" applyFont="1" applyFill="1" applyAlignment="1" applyProtection="1">
      <alignment horizontal="center" vertical="center"/>
      <protection hidden="1"/>
    </xf>
    <xf numFmtId="0" fontId="19" fillId="3" borderId="0" xfId="0" applyFont="1" applyFill="1" applyAlignment="1" applyProtection="1">
      <alignment horizontal="center" vertical="center"/>
      <protection locked="0"/>
    </xf>
    <xf numFmtId="0" fontId="5" fillId="3" borderId="4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3" borderId="6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7" fillId="3" borderId="4" xfId="0" applyFont="1" applyFill="1" applyBorder="1" applyAlignment="1">
      <alignment horizontal="center" vertical="center"/>
    </xf>
    <xf numFmtId="0" fontId="26" fillId="3" borderId="110" xfId="0" applyFont="1" applyFill="1" applyBorder="1" applyAlignment="1">
      <alignment horizontal="center" vertical="center"/>
    </xf>
    <xf numFmtId="0" fontId="26" fillId="3" borderId="104" xfId="0" applyFont="1" applyFill="1" applyBorder="1" applyAlignment="1">
      <alignment horizontal="center" vertical="center"/>
    </xf>
    <xf numFmtId="0" fontId="26" fillId="3" borderId="108" xfId="0" applyFont="1" applyFill="1" applyBorder="1" applyAlignment="1">
      <alignment horizontal="center" vertical="center"/>
    </xf>
    <xf numFmtId="0" fontId="26" fillId="3" borderId="109" xfId="0" applyFont="1" applyFill="1" applyBorder="1" applyAlignment="1">
      <alignment horizontal="center" vertical="center"/>
    </xf>
    <xf numFmtId="0" fontId="27" fillId="3" borderId="0" xfId="0" applyFont="1" applyFill="1"/>
    <xf numFmtId="0" fontId="8" fillId="0" borderId="93" xfId="0" applyFont="1" applyBorder="1" applyAlignment="1" applyProtection="1">
      <alignment vertical="center"/>
      <protection hidden="1"/>
    </xf>
    <xf numFmtId="0" fontId="11" fillId="2" borderId="24" xfId="0" applyFont="1" applyFill="1" applyBorder="1" applyAlignment="1" applyProtection="1">
      <alignment horizontal="left" vertical="center"/>
      <protection locked="0"/>
    </xf>
    <xf numFmtId="0" fontId="11" fillId="2" borderId="91" xfId="0" applyFont="1" applyFill="1" applyBorder="1" applyAlignment="1" applyProtection="1">
      <alignment horizontal="left" vertical="center"/>
      <protection locked="0"/>
    </xf>
    <xf numFmtId="0" fontId="11" fillId="2" borderId="90" xfId="0" applyFont="1" applyFill="1" applyBorder="1" applyAlignment="1" applyProtection="1">
      <alignment horizontal="left" vertical="center"/>
      <protection locked="0"/>
    </xf>
    <xf numFmtId="0" fontId="11" fillId="2" borderId="13" xfId="0" applyFont="1" applyFill="1" applyBorder="1" applyAlignment="1" applyProtection="1">
      <alignment horizontal="left" vertical="center"/>
      <protection locked="0"/>
    </xf>
    <xf numFmtId="0" fontId="11" fillId="2" borderId="94" xfId="0" applyFont="1" applyFill="1" applyBorder="1" applyAlignment="1" applyProtection="1">
      <alignment horizontal="left" vertical="center"/>
      <protection locked="0"/>
    </xf>
    <xf numFmtId="0" fontId="11" fillId="2" borderId="92" xfId="0" applyFont="1" applyFill="1" applyBorder="1" applyAlignment="1" applyProtection="1">
      <alignment vertical="center"/>
      <protection locked="0"/>
    </xf>
    <xf numFmtId="0" fontId="2" fillId="2" borderId="92" xfId="0" applyFont="1" applyFill="1" applyBorder="1" applyAlignment="1" applyProtection="1">
      <alignment vertical="center"/>
      <protection hidden="1"/>
    </xf>
    <xf numFmtId="0" fontId="11" fillId="2" borderId="92" xfId="0" applyFont="1" applyFill="1" applyBorder="1" applyAlignment="1" applyProtection="1">
      <alignment horizontal="left" vertical="center"/>
      <protection locked="0"/>
    </xf>
    <xf numFmtId="0" fontId="16" fillId="3" borderId="0" xfId="0" applyFont="1" applyFill="1" applyAlignment="1" applyProtection="1">
      <alignment horizontal="left" vertical="center"/>
      <protection hidden="1"/>
    </xf>
    <xf numFmtId="0" fontId="23" fillId="3" borderId="44" xfId="0" applyFont="1" applyFill="1" applyBorder="1" applyAlignment="1" applyProtection="1">
      <alignment horizontal="left"/>
      <protection locked="0"/>
    </xf>
    <xf numFmtId="0" fontId="23" fillId="3" borderId="11" xfId="0" applyFont="1" applyFill="1" applyBorder="1" applyAlignment="1" applyProtection="1">
      <alignment horizontal="left"/>
      <protection locked="0"/>
    </xf>
    <xf numFmtId="0" fontId="24" fillId="3" borderId="19" xfId="0" applyFont="1" applyFill="1" applyBorder="1" applyAlignment="1" applyProtection="1">
      <alignment horizontal="left"/>
      <protection locked="0"/>
    </xf>
    <xf numFmtId="0" fontId="23" fillId="3" borderId="0" xfId="0" applyFont="1" applyFill="1" applyAlignment="1" applyProtection="1">
      <alignment horizontal="left"/>
      <protection locked="0"/>
    </xf>
    <xf numFmtId="0" fontId="24" fillId="3" borderId="0" xfId="0" applyFont="1" applyFill="1" applyAlignment="1" applyProtection="1">
      <alignment horizontal="left"/>
      <protection locked="0"/>
    </xf>
    <xf numFmtId="0" fontId="15" fillId="3" borderId="0" xfId="0" applyFont="1" applyFill="1" applyProtection="1">
      <protection locked="0"/>
    </xf>
    <xf numFmtId="0" fontId="22" fillId="3" borderId="0" xfId="0" applyFont="1" applyFill="1" applyAlignment="1">
      <alignment horizontal="right"/>
    </xf>
    <xf numFmtId="0" fontId="25" fillId="3" borderId="0" xfId="0" applyFont="1" applyFill="1" applyAlignment="1">
      <alignment horizontal="right"/>
    </xf>
    <xf numFmtId="0" fontId="35" fillId="4" borderId="40" xfId="0" applyFont="1" applyFill="1" applyBorder="1" applyAlignment="1" applyProtection="1">
      <alignment horizontal="center" vertical="center"/>
      <protection hidden="1"/>
    </xf>
    <xf numFmtId="0" fontId="35" fillId="4" borderId="41" xfId="0" applyFont="1" applyFill="1" applyBorder="1" applyAlignment="1" applyProtection="1">
      <alignment horizontal="center" vertical="center"/>
      <protection hidden="1"/>
    </xf>
    <xf numFmtId="0" fontId="30" fillId="4" borderId="4" xfId="0" applyFont="1" applyFill="1" applyBorder="1" applyAlignment="1" applyProtection="1">
      <alignment horizontal="center" vertical="center"/>
      <protection hidden="1"/>
    </xf>
    <xf numFmtId="0" fontId="30" fillId="4" borderId="0" xfId="0" applyFont="1" applyFill="1" applyAlignment="1" applyProtection="1">
      <alignment horizontal="center" vertical="center"/>
      <protection hidden="1"/>
    </xf>
    <xf numFmtId="0" fontId="32" fillId="4" borderId="39" xfId="0" applyFont="1" applyFill="1" applyBorder="1" applyAlignment="1" applyProtection="1">
      <alignment vertical="center"/>
      <protection hidden="1"/>
    </xf>
    <xf numFmtId="0" fontId="32" fillId="4" borderId="40" xfId="0" applyFont="1" applyFill="1" applyBorder="1" applyAlignment="1" applyProtection="1">
      <alignment vertical="center"/>
      <protection hidden="1"/>
    </xf>
    <xf numFmtId="0" fontId="32" fillId="4" borderId="40" xfId="0" applyFont="1" applyFill="1" applyBorder="1" applyAlignment="1" applyProtection="1">
      <alignment horizontal="center" vertical="center"/>
      <protection hidden="1"/>
    </xf>
    <xf numFmtId="0" fontId="32" fillId="4" borderId="41" xfId="0" applyFont="1" applyFill="1" applyBorder="1" applyAlignment="1" applyProtection="1">
      <alignment vertical="center"/>
      <protection hidden="1"/>
    </xf>
    <xf numFmtId="0" fontId="19" fillId="4" borderId="44" xfId="0" applyFont="1" applyFill="1" applyBorder="1" applyAlignment="1" applyProtection="1">
      <alignment vertical="center"/>
      <protection hidden="1"/>
    </xf>
    <xf numFmtId="0" fontId="19" fillId="4" borderId="40" xfId="0" applyFont="1" applyFill="1" applyBorder="1" applyAlignment="1" applyProtection="1">
      <alignment horizontal="center" vertical="center"/>
      <protection hidden="1"/>
    </xf>
    <xf numFmtId="0" fontId="30" fillId="4" borderId="92" xfId="0" applyFont="1" applyFill="1" applyBorder="1" applyAlignment="1" applyProtection="1">
      <alignment horizontal="center" vertical="center"/>
      <protection hidden="1"/>
    </xf>
    <xf numFmtId="0" fontId="30" fillId="4" borderId="1" xfId="0" applyFont="1" applyFill="1" applyBorder="1" applyAlignment="1" applyProtection="1">
      <alignment horizontal="center" vertical="center"/>
      <protection hidden="1"/>
    </xf>
    <xf numFmtId="0" fontId="30" fillId="4" borderId="40" xfId="0" applyFont="1" applyFill="1" applyBorder="1" applyAlignment="1" applyProtection="1">
      <alignment horizontal="center" vertical="center"/>
      <protection hidden="1"/>
    </xf>
    <xf numFmtId="0" fontId="30" fillId="4" borderId="1" xfId="0" applyFont="1" applyFill="1" applyBorder="1" applyAlignment="1">
      <alignment horizontal="center"/>
    </xf>
    <xf numFmtId="0" fontId="30" fillId="4" borderId="40" xfId="0" applyFont="1" applyFill="1" applyBorder="1" applyAlignment="1" applyProtection="1">
      <alignment horizontal="center"/>
      <protection hidden="1"/>
    </xf>
    <xf numFmtId="0" fontId="30" fillId="4" borderId="92" xfId="0" applyFont="1" applyFill="1" applyBorder="1" applyAlignment="1" applyProtection="1">
      <alignment horizontal="center"/>
      <protection hidden="1"/>
    </xf>
    <xf numFmtId="0" fontId="16" fillId="4" borderId="0" xfId="0" applyFont="1" applyFill="1" applyProtection="1">
      <protection hidden="1"/>
    </xf>
    <xf numFmtId="0" fontId="32" fillId="4" borderId="40" xfId="0" applyFont="1" applyFill="1" applyBorder="1" applyProtection="1">
      <protection hidden="1"/>
    </xf>
    <xf numFmtId="0" fontId="32" fillId="4" borderId="40" xfId="0" applyFont="1" applyFill="1" applyBorder="1" applyAlignment="1" applyProtection="1">
      <alignment horizontal="center"/>
      <protection hidden="1"/>
    </xf>
    <xf numFmtId="0" fontId="32" fillId="4" borderId="41" xfId="0" applyFont="1" applyFill="1" applyBorder="1" applyProtection="1">
      <protection hidden="1"/>
    </xf>
    <xf numFmtId="0" fontId="19" fillId="4" borderId="2" xfId="0" applyFont="1" applyFill="1" applyBorder="1" applyAlignment="1" applyProtection="1">
      <alignment horizontal="center"/>
      <protection hidden="1"/>
    </xf>
    <xf numFmtId="14" fontId="38" fillId="0" borderId="15" xfId="0" applyNumberFormat="1" applyFont="1" applyBorder="1" applyAlignment="1" applyProtection="1">
      <alignment horizontal="center" vertical="center"/>
      <protection hidden="1"/>
    </xf>
    <xf numFmtId="0" fontId="38" fillId="0" borderId="73" xfId="0" applyFont="1" applyBorder="1" applyAlignment="1" applyProtection="1">
      <alignment horizontal="center" vertical="center"/>
      <protection hidden="1"/>
    </xf>
    <xf numFmtId="14" fontId="38" fillId="0" borderId="18" xfId="0" applyNumberFormat="1" applyFont="1" applyBorder="1" applyAlignment="1" applyProtection="1">
      <alignment horizontal="center" vertical="center"/>
      <protection hidden="1"/>
    </xf>
    <xf numFmtId="0" fontId="38" fillId="0" borderId="55" xfId="0" applyFont="1" applyBorder="1" applyAlignment="1" applyProtection="1">
      <alignment horizontal="center" vertical="center"/>
      <protection hidden="1"/>
    </xf>
    <xf numFmtId="14" fontId="38" fillId="0" borderId="87" xfId="0" applyNumberFormat="1" applyFont="1" applyBorder="1" applyAlignment="1" applyProtection="1">
      <alignment horizontal="center" vertical="center"/>
      <protection hidden="1"/>
    </xf>
    <xf numFmtId="0" fontId="38" fillId="0" borderId="59" xfId="0" applyFont="1" applyBorder="1" applyAlignment="1" applyProtection="1">
      <alignment horizontal="center" vertical="center"/>
      <protection hidden="1"/>
    </xf>
    <xf numFmtId="14" fontId="38" fillId="0" borderId="26" xfId="0" applyNumberFormat="1" applyFont="1" applyBorder="1" applyAlignment="1" applyProtection="1">
      <alignment horizontal="center" vertical="center"/>
      <protection hidden="1"/>
    </xf>
    <xf numFmtId="0" fontId="38" fillId="0" borderId="26" xfId="0" applyFont="1" applyBorder="1" applyAlignment="1" applyProtection="1">
      <alignment horizontal="center" vertical="center"/>
      <protection hidden="1"/>
    </xf>
    <xf numFmtId="0" fontId="38" fillId="0" borderId="18" xfId="0" applyFont="1" applyBorder="1" applyAlignment="1" applyProtection="1">
      <alignment horizontal="center" vertical="center"/>
      <protection hidden="1"/>
    </xf>
    <xf numFmtId="0" fontId="38" fillId="0" borderId="87" xfId="0" applyFont="1" applyBorder="1" applyAlignment="1" applyProtection="1">
      <alignment horizontal="center" vertical="center"/>
      <protection hidden="1"/>
    </xf>
    <xf numFmtId="0" fontId="38" fillId="0" borderId="52" xfId="0" applyFont="1" applyBorder="1" applyAlignment="1" applyProtection="1">
      <alignment horizontal="center" vertical="center"/>
      <protection hidden="1"/>
    </xf>
    <xf numFmtId="14" fontId="38" fillId="3" borderId="113" xfId="0" applyNumberFormat="1" applyFont="1" applyFill="1" applyBorder="1" applyAlignment="1" applyProtection="1">
      <alignment horizontal="center" vertical="center"/>
      <protection hidden="1"/>
    </xf>
    <xf numFmtId="14" fontId="38" fillId="3" borderId="52" xfId="0" applyNumberFormat="1" applyFont="1" applyFill="1" applyBorder="1" applyAlignment="1" applyProtection="1">
      <alignment horizontal="center" vertical="center"/>
      <protection hidden="1"/>
    </xf>
    <xf numFmtId="14" fontId="38" fillId="3" borderId="53" xfId="0" applyNumberFormat="1" applyFont="1" applyFill="1" applyBorder="1" applyAlignment="1" applyProtection="1">
      <alignment horizontal="center" vertical="center"/>
      <protection hidden="1"/>
    </xf>
    <xf numFmtId="14" fontId="38" fillId="3" borderId="114" xfId="0" applyNumberFormat="1" applyFont="1" applyFill="1" applyBorder="1" applyAlignment="1" applyProtection="1">
      <alignment horizontal="center" vertical="center"/>
      <protection hidden="1"/>
    </xf>
    <xf numFmtId="14" fontId="38" fillId="3" borderId="55" xfId="0" applyNumberFormat="1" applyFont="1" applyFill="1" applyBorder="1" applyAlignment="1" applyProtection="1">
      <alignment horizontal="center" vertical="center"/>
      <protection hidden="1"/>
    </xf>
    <xf numFmtId="14" fontId="38" fillId="3" borderId="56" xfId="0" applyNumberFormat="1" applyFont="1" applyFill="1" applyBorder="1" applyAlignment="1" applyProtection="1">
      <alignment horizontal="center" vertical="center"/>
      <protection hidden="1"/>
    </xf>
    <xf numFmtId="14" fontId="38" fillId="3" borderId="115" xfId="0" applyNumberFormat="1" applyFont="1" applyFill="1" applyBorder="1" applyAlignment="1" applyProtection="1">
      <alignment horizontal="center" vertical="center"/>
      <protection hidden="1"/>
    </xf>
    <xf numFmtId="14" fontId="38" fillId="3" borderId="116" xfId="0" applyNumberFormat="1" applyFont="1" applyFill="1" applyBorder="1" applyAlignment="1" applyProtection="1">
      <alignment horizontal="center" vertical="center"/>
      <protection hidden="1"/>
    </xf>
    <xf numFmtId="14" fontId="38" fillId="3" borderId="117" xfId="0" applyNumberFormat="1" applyFont="1" applyFill="1" applyBorder="1" applyAlignment="1" applyProtection="1">
      <alignment horizontal="center" vertical="center"/>
      <protection hidden="1"/>
    </xf>
    <xf numFmtId="14" fontId="38" fillId="3" borderId="118" xfId="0" applyNumberFormat="1" applyFont="1" applyFill="1" applyBorder="1" applyAlignment="1" applyProtection="1">
      <alignment horizontal="center" vertical="center"/>
      <protection hidden="1"/>
    </xf>
    <xf numFmtId="14" fontId="38" fillId="3" borderId="67" xfId="0" applyNumberFormat="1" applyFont="1" applyFill="1" applyBorder="1" applyAlignment="1" applyProtection="1">
      <alignment horizontal="center" vertical="center"/>
      <protection hidden="1"/>
    </xf>
    <xf numFmtId="14" fontId="38" fillId="3" borderId="68" xfId="0" applyNumberFormat="1" applyFont="1" applyFill="1" applyBorder="1" applyAlignment="1" applyProtection="1">
      <alignment horizontal="center" vertical="center"/>
      <protection hidden="1"/>
    </xf>
    <xf numFmtId="0" fontId="26" fillId="3" borderId="119" xfId="0" applyFont="1" applyFill="1" applyBorder="1" applyAlignment="1">
      <alignment horizontal="center" vertical="center"/>
    </xf>
    <xf numFmtId="167" fontId="38" fillId="0" borderId="73" xfId="0" applyNumberFormat="1" applyFont="1" applyBorder="1" applyAlignment="1" applyProtection="1">
      <alignment horizontal="center" vertical="center"/>
      <protection hidden="1"/>
    </xf>
    <xf numFmtId="167" fontId="38" fillId="0" borderId="55" xfId="0" applyNumberFormat="1" applyFont="1" applyBorder="1" applyAlignment="1" applyProtection="1">
      <alignment horizontal="center" vertical="center"/>
      <protection hidden="1"/>
    </xf>
    <xf numFmtId="167" fontId="38" fillId="0" borderId="59" xfId="0" applyNumberFormat="1" applyFont="1" applyBorder="1" applyAlignment="1" applyProtection="1">
      <alignment horizontal="center" vertical="center"/>
      <protection hidden="1"/>
    </xf>
    <xf numFmtId="167" fontId="38" fillId="0" borderId="52" xfId="0" applyNumberFormat="1" applyFont="1" applyBorder="1" applyAlignment="1" applyProtection="1">
      <alignment horizontal="center" vertical="center"/>
      <protection hidden="1"/>
    </xf>
    <xf numFmtId="0" fontId="39" fillId="3" borderId="0" xfId="0" applyFont="1" applyFill="1" applyProtection="1">
      <protection hidden="1"/>
    </xf>
    <xf numFmtId="0" fontId="40" fillId="3" borderId="0" xfId="0" applyFont="1" applyFill="1" applyAlignment="1" applyProtection="1">
      <alignment horizontal="center" vertical="center"/>
      <protection hidden="1"/>
    </xf>
    <xf numFmtId="0" fontId="39" fillId="3" borderId="0" xfId="0" applyFont="1" applyFill="1" applyAlignment="1" applyProtection="1">
      <alignment horizontal="center"/>
      <protection hidden="1"/>
    </xf>
    <xf numFmtId="0" fontId="42" fillId="3" borderId="0" xfId="0" applyFont="1" applyFill="1" applyAlignment="1" applyProtection="1">
      <alignment horizontal="left" wrapText="1"/>
      <protection hidden="1"/>
    </xf>
    <xf numFmtId="0" fontId="39" fillId="3" borderId="0" xfId="0" applyFont="1" applyFill="1" applyAlignment="1" applyProtection="1">
      <alignment horizontal="left"/>
      <protection hidden="1"/>
    </xf>
    <xf numFmtId="0" fontId="39" fillId="3" borderId="0" xfId="0" applyFont="1" applyFill="1" applyAlignment="1" applyProtection="1">
      <alignment horizontal="right"/>
      <protection hidden="1"/>
    </xf>
    <xf numFmtId="1" fontId="39" fillId="3" borderId="0" xfId="0" applyNumberFormat="1" applyFont="1" applyFill="1" applyProtection="1">
      <protection hidden="1"/>
    </xf>
    <xf numFmtId="164" fontId="39" fillId="3" borderId="0" xfId="0" applyNumberFormat="1" applyFont="1" applyFill="1" applyProtection="1">
      <protection hidden="1"/>
    </xf>
    <xf numFmtId="0" fontId="40" fillId="3" borderId="0" xfId="0" applyFont="1" applyFill="1" applyAlignment="1" applyProtection="1">
      <alignment horizontal="left" vertical="center"/>
      <protection hidden="1"/>
    </xf>
    <xf numFmtId="0" fontId="19" fillId="3" borderId="0" xfId="0" applyFont="1" applyFill="1" applyAlignment="1" applyProtection="1">
      <alignment horizontal="center"/>
      <protection hidden="1"/>
    </xf>
    <xf numFmtId="1" fontId="39" fillId="3" borderId="0" xfId="0" applyNumberFormat="1" applyFont="1" applyFill="1" applyAlignment="1" applyProtection="1">
      <alignment horizontal="center"/>
      <protection hidden="1"/>
    </xf>
    <xf numFmtId="1" fontId="39" fillId="3" borderId="0" xfId="0" applyNumberFormat="1" applyFont="1" applyFill="1" applyAlignment="1" applyProtection="1">
      <alignment horizontal="center" shrinkToFit="1"/>
      <protection hidden="1"/>
    </xf>
    <xf numFmtId="164" fontId="39" fillId="3" borderId="0" xfId="0" applyNumberFormat="1" applyFont="1" applyFill="1" applyAlignment="1" applyProtection="1">
      <alignment horizontal="center"/>
      <protection hidden="1"/>
    </xf>
    <xf numFmtId="164" fontId="39" fillId="3" borderId="0" xfId="0" applyNumberFormat="1" applyFont="1" applyFill="1" applyAlignment="1" applyProtection="1">
      <alignment horizontal="center" shrinkToFit="1"/>
      <protection hidden="1"/>
    </xf>
    <xf numFmtId="1" fontId="39" fillId="3" borderId="0" xfId="0" applyNumberFormat="1" applyFont="1" applyFill="1" applyAlignment="1" applyProtection="1">
      <alignment horizontal="left"/>
      <protection hidden="1"/>
    </xf>
    <xf numFmtId="0" fontId="43" fillId="3" borderId="101" xfId="0" applyFont="1" applyFill="1" applyBorder="1" applyAlignment="1" applyProtection="1">
      <alignment horizontal="center"/>
      <protection hidden="1"/>
    </xf>
    <xf numFmtId="0" fontId="43" fillId="3" borderId="103" xfId="0" applyFont="1" applyFill="1" applyBorder="1" applyAlignment="1" applyProtection="1">
      <alignment horizontal="center"/>
      <protection hidden="1"/>
    </xf>
    <xf numFmtId="165" fontId="44" fillId="3" borderId="96" xfId="0" applyNumberFormat="1" applyFont="1" applyFill="1" applyBorder="1" applyAlignment="1" applyProtection="1">
      <alignment horizontal="center"/>
      <protection hidden="1"/>
    </xf>
    <xf numFmtId="1" fontId="45" fillId="3" borderId="28" xfId="0" applyNumberFormat="1" applyFont="1" applyFill="1" applyBorder="1" applyAlignment="1" applyProtection="1">
      <alignment horizontal="left"/>
      <protection hidden="1"/>
    </xf>
    <xf numFmtId="0" fontId="45" fillId="3" borderId="28" xfId="0" applyFont="1" applyFill="1" applyBorder="1" applyAlignment="1" applyProtection="1">
      <alignment horizontal="center"/>
      <protection hidden="1"/>
    </xf>
    <xf numFmtId="0" fontId="45" fillId="3" borderId="97" xfId="0" applyFont="1" applyFill="1" applyBorder="1" applyAlignment="1" applyProtection="1">
      <alignment horizontal="center"/>
      <protection hidden="1"/>
    </xf>
    <xf numFmtId="0" fontId="39" fillId="3" borderId="120" xfId="0" applyFont="1" applyFill="1" applyBorder="1" applyProtection="1">
      <protection hidden="1"/>
    </xf>
    <xf numFmtId="0" fontId="42" fillId="3" borderId="121" xfId="0" applyFont="1" applyFill="1" applyBorder="1" applyAlignment="1" applyProtection="1">
      <alignment horizontal="left" wrapText="1"/>
      <protection hidden="1"/>
    </xf>
    <xf numFmtId="0" fontId="39" fillId="3" borderId="121" xfId="0" applyFont="1" applyFill="1" applyBorder="1" applyAlignment="1" applyProtection="1">
      <alignment horizontal="center"/>
      <protection hidden="1"/>
    </xf>
    <xf numFmtId="0" fontId="39" fillId="3" borderId="122" xfId="0" applyFont="1" applyFill="1" applyBorder="1" applyProtection="1">
      <protection hidden="1"/>
    </xf>
    <xf numFmtId="0" fontId="39" fillId="3" borderId="0" xfId="0" applyFont="1" applyFill="1" applyAlignment="1" applyProtection="1">
      <alignment horizontal="center" vertical="center"/>
      <protection hidden="1"/>
    </xf>
    <xf numFmtId="0" fontId="39" fillId="3" borderId="123" xfId="0" applyFont="1" applyFill="1" applyBorder="1" applyProtection="1">
      <protection hidden="1"/>
    </xf>
    <xf numFmtId="0" fontId="39" fillId="3" borderId="35" xfId="0" applyFont="1" applyFill="1" applyBorder="1" applyProtection="1">
      <protection hidden="1"/>
    </xf>
    <xf numFmtId="0" fontId="39" fillId="3" borderId="31" xfId="0" applyFont="1" applyFill="1" applyBorder="1" applyProtection="1">
      <protection hidden="1"/>
    </xf>
    <xf numFmtId="0" fontId="39" fillId="3" borderId="31" xfId="0" applyFont="1" applyFill="1" applyBorder="1" applyAlignment="1" applyProtection="1">
      <alignment horizontal="center"/>
      <protection hidden="1"/>
    </xf>
    <xf numFmtId="165" fontId="44" fillId="3" borderId="98" xfId="0" applyNumberFormat="1" applyFont="1" applyFill="1" applyBorder="1" applyAlignment="1" applyProtection="1">
      <alignment horizontal="center"/>
      <protection hidden="1"/>
    </xf>
    <xf numFmtId="1" fontId="45" fillId="3" borderId="99" xfId="0" applyNumberFormat="1" applyFont="1" applyFill="1" applyBorder="1" applyAlignment="1" applyProtection="1">
      <alignment horizontal="left"/>
      <protection hidden="1"/>
    </xf>
    <xf numFmtId="0" fontId="45" fillId="3" borderId="99" xfId="0" applyFont="1" applyFill="1" applyBorder="1" applyAlignment="1" applyProtection="1">
      <alignment horizontal="center"/>
      <protection hidden="1"/>
    </xf>
    <xf numFmtId="0" fontId="45" fillId="3" borderId="100" xfId="0" applyFont="1" applyFill="1" applyBorder="1" applyAlignment="1" applyProtection="1">
      <alignment horizontal="center"/>
      <protection hidden="1"/>
    </xf>
    <xf numFmtId="0" fontId="39" fillId="3" borderId="124" xfId="0" applyFont="1" applyFill="1" applyBorder="1" applyProtection="1">
      <protection hidden="1"/>
    </xf>
    <xf numFmtId="0" fontId="42" fillId="3" borderId="31" xfId="0" applyFont="1" applyFill="1" applyBorder="1" applyAlignment="1" applyProtection="1">
      <alignment horizontal="left" wrapText="1"/>
      <protection hidden="1"/>
    </xf>
    <xf numFmtId="0" fontId="39" fillId="3" borderId="36" xfId="0" applyFont="1" applyFill="1" applyBorder="1" applyProtection="1">
      <protection hidden="1"/>
    </xf>
    <xf numFmtId="1" fontId="39" fillId="3" borderId="31" xfId="0" applyNumberFormat="1" applyFont="1" applyFill="1" applyBorder="1" applyProtection="1">
      <protection hidden="1"/>
    </xf>
    <xf numFmtId="1" fontId="39" fillId="3" borderId="31" xfId="0" applyNumberFormat="1" applyFont="1" applyFill="1" applyBorder="1" applyAlignment="1" applyProtection="1">
      <alignment horizontal="center"/>
      <protection hidden="1"/>
    </xf>
    <xf numFmtId="0" fontId="45" fillId="3" borderId="0" xfId="0" applyFont="1" applyFill="1" applyAlignment="1" applyProtection="1">
      <alignment horizontal="center"/>
      <protection hidden="1"/>
    </xf>
    <xf numFmtId="1" fontId="45" fillId="3" borderId="0" xfId="0" applyNumberFormat="1" applyFont="1" applyFill="1" applyAlignment="1" applyProtection="1">
      <alignment horizontal="left"/>
      <protection hidden="1"/>
    </xf>
    <xf numFmtId="1" fontId="39" fillId="3" borderId="33" xfId="0" applyNumberFormat="1" applyFont="1" applyFill="1" applyBorder="1" applyProtection="1">
      <protection hidden="1"/>
    </xf>
    <xf numFmtId="0" fontId="39" fillId="3" borderId="33" xfId="0" applyFont="1" applyFill="1" applyBorder="1" applyAlignment="1" applyProtection="1">
      <alignment horizontal="center"/>
      <protection hidden="1"/>
    </xf>
    <xf numFmtId="1" fontId="39" fillId="3" borderId="33" xfId="0" applyNumberFormat="1" applyFont="1" applyFill="1" applyBorder="1" applyAlignment="1" applyProtection="1">
      <alignment horizontal="center"/>
      <protection hidden="1"/>
    </xf>
    <xf numFmtId="0" fontId="45" fillId="3" borderId="0" xfId="0" applyFont="1" applyFill="1" applyAlignment="1" applyProtection="1">
      <alignment horizontal="left"/>
      <protection hidden="1"/>
    </xf>
    <xf numFmtId="0" fontId="19" fillId="3" borderId="0" xfId="0" applyFont="1" applyFill="1" applyProtection="1">
      <protection hidden="1"/>
    </xf>
    <xf numFmtId="0" fontId="39" fillId="3" borderId="29" xfId="0" applyFont="1" applyFill="1" applyBorder="1" applyProtection="1">
      <protection hidden="1"/>
    </xf>
    <xf numFmtId="0" fontId="39" fillId="3" borderId="33" xfId="0" applyFont="1" applyFill="1" applyBorder="1" applyAlignment="1" applyProtection="1">
      <alignment horizontal="right"/>
      <protection hidden="1"/>
    </xf>
    <xf numFmtId="0" fontId="39" fillId="3" borderId="34" xfId="0" applyFont="1" applyFill="1" applyBorder="1" applyAlignment="1" applyProtection="1">
      <alignment horizontal="right"/>
      <protection hidden="1"/>
    </xf>
    <xf numFmtId="0" fontId="39" fillId="3" borderId="30" xfId="0" applyFont="1" applyFill="1" applyBorder="1" applyProtection="1">
      <protection hidden="1"/>
    </xf>
    <xf numFmtId="0" fontId="39" fillId="3" borderId="32" xfId="0" applyFont="1" applyFill="1" applyBorder="1" applyProtection="1">
      <protection hidden="1"/>
    </xf>
    <xf numFmtId="0" fontId="39" fillId="3" borderId="35" xfId="0" applyFont="1" applyFill="1" applyBorder="1" applyAlignment="1" applyProtection="1">
      <alignment horizontal="right"/>
      <protection hidden="1"/>
    </xf>
    <xf numFmtId="0" fontId="39" fillId="3" borderId="31" xfId="0" applyFont="1" applyFill="1" applyBorder="1" applyAlignment="1" applyProtection="1">
      <alignment horizontal="right"/>
      <protection hidden="1"/>
    </xf>
    <xf numFmtId="0" fontId="39" fillId="3" borderId="36" xfId="0" applyFont="1" applyFill="1" applyBorder="1" applyAlignment="1" applyProtection="1">
      <alignment horizontal="right"/>
      <protection hidden="1"/>
    </xf>
    <xf numFmtId="0" fontId="39" fillId="3" borderId="37" xfId="0" applyFont="1" applyFill="1" applyBorder="1" applyProtection="1">
      <protection hidden="1"/>
    </xf>
    <xf numFmtId="0" fontId="39" fillId="3" borderId="11" xfId="0" applyFont="1" applyFill="1" applyBorder="1" applyAlignment="1" applyProtection="1">
      <alignment horizontal="right"/>
      <protection hidden="1"/>
    </xf>
    <xf numFmtId="0" fontId="39" fillId="3" borderId="38" xfId="0" applyFont="1" applyFill="1" applyBorder="1" applyAlignment="1" applyProtection="1">
      <alignment horizontal="right"/>
      <protection hidden="1"/>
    </xf>
    <xf numFmtId="14" fontId="50" fillId="3" borderId="23" xfId="0" applyNumberFormat="1" applyFont="1" applyFill="1" applyBorder="1" applyAlignment="1" applyProtection="1">
      <alignment horizontal="center"/>
      <protection hidden="1"/>
    </xf>
    <xf numFmtId="166" fontId="50" fillId="3" borderId="52" xfId="0" applyNumberFormat="1" applyFont="1" applyFill="1" applyBorder="1" applyAlignment="1" applyProtection="1">
      <alignment horizontal="center"/>
      <protection hidden="1"/>
    </xf>
    <xf numFmtId="0" fontId="50" fillId="3" borderId="53" xfId="0" applyFont="1" applyFill="1" applyBorder="1" applyAlignment="1" applyProtection="1">
      <alignment horizontal="center"/>
      <protection hidden="1"/>
    </xf>
    <xf numFmtId="14" fontId="50" fillId="3" borderId="16" xfId="0" applyNumberFormat="1" applyFont="1" applyFill="1" applyBorder="1" applyAlignment="1" applyProtection="1">
      <alignment horizontal="center"/>
      <protection hidden="1"/>
    </xf>
    <xf numFmtId="166" fontId="50" fillId="3" borderId="55" xfId="0" applyNumberFormat="1" applyFont="1" applyFill="1" applyBorder="1" applyAlignment="1" applyProtection="1">
      <alignment horizontal="center"/>
      <protection hidden="1"/>
    </xf>
    <xf numFmtId="0" fontId="50" fillId="3" borderId="56" xfId="0" applyFont="1" applyFill="1" applyBorder="1" applyAlignment="1" applyProtection="1">
      <alignment horizontal="center"/>
      <protection hidden="1"/>
    </xf>
    <xf numFmtId="14" fontId="50" fillId="3" borderId="9" xfId="0" applyNumberFormat="1" applyFont="1" applyFill="1" applyBorder="1" applyAlignment="1" applyProtection="1">
      <alignment horizontal="center"/>
      <protection hidden="1"/>
    </xf>
    <xf numFmtId="166" fontId="50" fillId="3" borderId="59" xfId="0" applyNumberFormat="1" applyFont="1" applyFill="1" applyBorder="1" applyAlignment="1" applyProtection="1">
      <alignment horizontal="center"/>
      <protection hidden="1"/>
    </xf>
    <xf numFmtId="0" fontId="50" fillId="3" borderId="60" xfId="0" applyFont="1" applyFill="1" applyBorder="1" applyAlignment="1" applyProtection="1">
      <alignment horizontal="center"/>
      <protection hidden="1"/>
    </xf>
    <xf numFmtId="14" fontId="50" fillId="3" borderId="64" xfId="0" applyNumberFormat="1" applyFont="1" applyFill="1" applyBorder="1" applyAlignment="1" applyProtection="1">
      <alignment horizontal="center"/>
      <protection hidden="1"/>
    </xf>
    <xf numFmtId="14" fontId="50" fillId="3" borderId="39" xfId="0" applyNumberFormat="1" applyFont="1" applyFill="1" applyBorder="1" applyAlignment="1" applyProtection="1">
      <alignment horizontal="center"/>
      <protection hidden="1"/>
    </xf>
    <xf numFmtId="166" fontId="50" fillId="3" borderId="67" xfId="0" applyNumberFormat="1" applyFont="1" applyFill="1" applyBorder="1" applyAlignment="1" applyProtection="1">
      <alignment horizontal="center"/>
      <protection hidden="1"/>
    </xf>
    <xf numFmtId="0" fontId="50" fillId="3" borderId="68" xfId="0" applyFont="1" applyFill="1" applyBorder="1" applyAlignment="1" applyProtection="1">
      <alignment horizontal="center"/>
      <protection hidden="1"/>
    </xf>
    <xf numFmtId="0" fontId="46" fillId="3" borderId="0" xfId="0" applyFont="1" applyFill="1" applyAlignment="1" applyProtection="1">
      <alignment horizontal="center"/>
      <protection hidden="1"/>
    </xf>
    <xf numFmtId="0" fontId="47" fillId="3" borderId="0" xfId="0" applyFont="1" applyFill="1" applyAlignment="1" applyProtection="1">
      <alignment horizontal="center" vertical="center"/>
      <protection hidden="1"/>
    </xf>
    <xf numFmtId="0" fontId="39" fillId="3" borderId="43" xfId="0" applyFont="1" applyFill="1" applyBorder="1" applyAlignment="1" applyProtection="1">
      <alignment horizontal="center"/>
      <protection hidden="1"/>
    </xf>
    <xf numFmtId="0" fontId="39" fillId="3" borderId="48" xfId="0" applyFont="1" applyFill="1" applyBorder="1" applyAlignment="1" applyProtection="1">
      <alignment horizontal="center"/>
      <protection hidden="1"/>
    </xf>
    <xf numFmtId="0" fontId="19" fillId="3" borderId="7" xfId="0" applyFont="1" applyFill="1" applyBorder="1" applyAlignment="1" applyProtection="1">
      <alignment horizontal="center"/>
      <protection hidden="1"/>
    </xf>
    <xf numFmtId="0" fontId="19" fillId="3" borderId="39" xfId="0" applyFont="1" applyFill="1" applyBorder="1" applyAlignment="1" applyProtection="1">
      <alignment horizontal="center"/>
      <protection hidden="1"/>
    </xf>
    <xf numFmtId="0" fontId="19" fillId="3" borderId="40" xfId="0" applyFont="1" applyFill="1" applyBorder="1" applyAlignment="1" applyProtection="1">
      <alignment horizontal="center"/>
      <protection hidden="1"/>
    </xf>
    <xf numFmtId="0" fontId="19" fillId="3" borderId="41" xfId="0" applyFont="1" applyFill="1" applyBorder="1" applyAlignment="1" applyProtection="1">
      <alignment horizontal="center"/>
      <protection hidden="1"/>
    </xf>
    <xf numFmtId="0" fontId="49" fillId="3" borderId="42" xfId="0" applyFont="1" applyFill="1" applyBorder="1" applyAlignment="1" applyProtection="1">
      <alignment horizontal="center"/>
      <protection hidden="1"/>
    </xf>
    <xf numFmtId="0" fontId="51" fillId="3" borderId="43" xfId="0" applyFont="1" applyFill="1" applyBorder="1" applyAlignment="1" applyProtection="1">
      <alignment horizontal="center" vertical="center" wrapText="1"/>
      <protection hidden="1"/>
    </xf>
    <xf numFmtId="0" fontId="39" fillId="3" borderId="44" xfId="0" applyFont="1" applyFill="1" applyBorder="1" applyAlignment="1" applyProtection="1">
      <alignment horizontal="right"/>
      <protection hidden="1"/>
    </xf>
    <xf numFmtId="0" fontId="19" fillId="3" borderId="44" xfId="0" applyFont="1" applyFill="1" applyBorder="1" applyAlignment="1" applyProtection="1">
      <alignment horizontal="right"/>
      <protection hidden="1"/>
    </xf>
    <xf numFmtId="0" fontId="19" fillId="3" borderId="44" xfId="0" applyFont="1" applyFill="1" applyBorder="1" applyAlignment="1" applyProtection="1">
      <alignment horizontal="center"/>
      <protection hidden="1"/>
    </xf>
    <xf numFmtId="0" fontId="39" fillId="3" borderId="45" xfId="0" applyFont="1" applyFill="1" applyBorder="1" applyAlignment="1" applyProtection="1">
      <alignment horizontal="left"/>
      <protection hidden="1"/>
    </xf>
    <xf numFmtId="0" fontId="46" fillId="3" borderId="22" xfId="0" applyFont="1" applyFill="1" applyBorder="1" applyAlignment="1" applyProtection="1">
      <alignment horizontal="center"/>
      <protection hidden="1"/>
    </xf>
    <xf numFmtId="0" fontId="46" fillId="3" borderId="62" xfId="0" applyFont="1" applyFill="1" applyBorder="1" applyAlignment="1" applyProtection="1">
      <alignment horizontal="center"/>
      <protection hidden="1"/>
    </xf>
    <xf numFmtId="0" fontId="51" fillId="3" borderId="51" xfId="0" applyFont="1" applyFill="1" applyBorder="1" applyAlignment="1" applyProtection="1">
      <alignment horizontal="center" vertical="center" wrapText="1"/>
      <protection hidden="1"/>
    </xf>
    <xf numFmtId="0" fontId="19" fillId="3" borderId="11" xfId="0" applyFont="1" applyFill="1" applyBorder="1" applyAlignment="1" applyProtection="1">
      <alignment horizontal="right"/>
      <protection hidden="1"/>
    </xf>
    <xf numFmtId="0" fontId="19" fillId="3" borderId="11" xfId="0" applyFont="1" applyFill="1" applyBorder="1" applyAlignment="1" applyProtection="1">
      <alignment horizontal="center"/>
      <protection hidden="1"/>
    </xf>
    <xf numFmtId="0" fontId="39" fillId="3" borderId="50" xfId="0" applyFont="1" applyFill="1" applyBorder="1" applyAlignment="1" applyProtection="1">
      <alignment horizontal="left"/>
      <protection hidden="1"/>
    </xf>
    <xf numFmtId="0" fontId="46" fillId="3" borderId="27" xfId="0" applyFont="1" applyFill="1" applyBorder="1" applyAlignment="1" applyProtection="1">
      <alignment horizontal="center"/>
      <protection hidden="1"/>
    </xf>
    <xf numFmtId="0" fontId="46" fillId="3" borderId="57" xfId="0" applyFont="1" applyFill="1" applyBorder="1" applyAlignment="1" applyProtection="1">
      <alignment horizontal="center"/>
      <protection hidden="1"/>
    </xf>
    <xf numFmtId="0" fontId="51" fillId="3" borderId="10" xfId="0" applyFont="1" applyFill="1" applyBorder="1" applyAlignment="1" applyProtection="1">
      <alignment horizontal="center" vertical="center" wrapText="1"/>
      <protection hidden="1"/>
    </xf>
    <xf numFmtId="0" fontId="39" fillId="3" borderId="7" xfId="0" applyFont="1" applyFill="1" applyBorder="1" applyAlignment="1" applyProtection="1">
      <alignment horizontal="right"/>
      <protection hidden="1"/>
    </xf>
    <xf numFmtId="0" fontId="19" fillId="3" borderId="19" xfId="0" applyFont="1" applyFill="1" applyBorder="1" applyAlignment="1" applyProtection="1">
      <alignment horizontal="right"/>
      <protection hidden="1"/>
    </xf>
    <xf numFmtId="0" fontId="19" fillId="3" borderId="19" xfId="0" applyFont="1" applyFill="1" applyBorder="1" applyAlignment="1" applyProtection="1">
      <alignment horizontal="center"/>
      <protection hidden="1"/>
    </xf>
    <xf numFmtId="0" fontId="39" fillId="3" borderId="49" xfId="0" applyFont="1" applyFill="1" applyBorder="1" applyAlignment="1" applyProtection="1">
      <alignment horizontal="left"/>
      <protection hidden="1"/>
    </xf>
    <xf numFmtId="0" fontId="39" fillId="3" borderId="7" xfId="0" applyFont="1" applyFill="1" applyBorder="1" applyAlignment="1" applyProtection="1">
      <alignment horizontal="center"/>
      <protection hidden="1"/>
    </xf>
    <xf numFmtId="0" fontId="19" fillId="3" borderId="4" xfId="0" applyFont="1" applyFill="1" applyBorder="1" applyAlignment="1" applyProtection="1">
      <alignment horizontal="center"/>
      <protection hidden="1"/>
    </xf>
    <xf numFmtId="0" fontId="19" fillId="3" borderId="5" xfId="0" applyFont="1" applyFill="1" applyBorder="1" applyAlignment="1" applyProtection="1">
      <alignment horizontal="center"/>
      <protection hidden="1"/>
    </xf>
    <xf numFmtId="0" fontId="39" fillId="3" borderId="46" xfId="0" applyFont="1" applyFill="1" applyBorder="1" applyAlignment="1" applyProtection="1">
      <alignment horizontal="right"/>
      <protection hidden="1"/>
    </xf>
    <xf numFmtId="0" fontId="39" fillId="3" borderId="44" xfId="0" applyFont="1" applyFill="1" applyBorder="1" applyAlignment="1" applyProtection="1">
      <alignment horizontal="center"/>
      <protection hidden="1"/>
    </xf>
    <xf numFmtId="0" fontId="51" fillId="3" borderId="51" xfId="0" applyFont="1" applyFill="1" applyBorder="1" applyAlignment="1" applyProtection="1">
      <alignment horizontal="center"/>
      <protection hidden="1"/>
    </xf>
    <xf numFmtId="0" fontId="39" fillId="3" borderId="11" xfId="0" applyFont="1" applyFill="1" applyBorder="1" applyAlignment="1" applyProtection="1">
      <alignment horizontal="center"/>
      <protection hidden="1"/>
    </xf>
    <xf numFmtId="0" fontId="51" fillId="3" borderId="10" xfId="0" applyFont="1" applyFill="1" applyBorder="1" applyAlignment="1" applyProtection="1">
      <alignment horizontal="center"/>
      <protection hidden="1"/>
    </xf>
    <xf numFmtId="0" fontId="39" fillId="3" borderId="64" xfId="0" applyFont="1" applyFill="1" applyBorder="1" applyAlignment="1" applyProtection="1">
      <alignment horizontal="right"/>
      <protection hidden="1"/>
    </xf>
    <xf numFmtId="0" fontId="19" fillId="3" borderId="65" xfId="0" applyFont="1" applyFill="1" applyBorder="1" applyAlignment="1" applyProtection="1">
      <alignment horizontal="right"/>
      <protection hidden="1"/>
    </xf>
    <xf numFmtId="0" fontId="19" fillId="3" borderId="65" xfId="0" applyFont="1" applyFill="1" applyBorder="1" applyAlignment="1" applyProtection="1">
      <alignment horizontal="center"/>
      <protection hidden="1"/>
    </xf>
    <xf numFmtId="0" fontId="39" fillId="3" borderId="66" xfId="0" applyFont="1" applyFill="1" applyBorder="1" applyAlignment="1" applyProtection="1">
      <alignment horizontal="left"/>
      <protection hidden="1"/>
    </xf>
    <xf numFmtId="0" fontId="39" fillId="3" borderId="47" xfId="0" applyFont="1" applyFill="1" applyBorder="1" applyAlignment="1" applyProtection="1">
      <alignment horizontal="left"/>
      <protection hidden="1"/>
    </xf>
    <xf numFmtId="0" fontId="39" fillId="3" borderId="65" xfId="0" applyFont="1" applyFill="1" applyBorder="1" applyAlignment="1" applyProtection="1">
      <alignment horizontal="center"/>
      <protection hidden="1"/>
    </xf>
    <xf numFmtId="0" fontId="51" fillId="3" borderId="42" xfId="0" applyFont="1" applyFill="1" applyBorder="1" applyAlignment="1" applyProtection="1">
      <alignment horizontal="center" vertical="center" shrinkToFit="1"/>
      <protection hidden="1"/>
    </xf>
    <xf numFmtId="0" fontId="39" fillId="3" borderId="40" xfId="0" applyFont="1" applyFill="1" applyBorder="1" applyAlignment="1" applyProtection="1">
      <alignment horizontal="center"/>
      <protection hidden="1"/>
    </xf>
    <xf numFmtId="0" fontId="51" fillId="3" borderId="71" xfId="0" applyFont="1" applyFill="1" applyBorder="1" applyAlignment="1" applyProtection="1">
      <alignment horizontal="center" vertical="center" wrapText="1"/>
      <protection hidden="1"/>
    </xf>
    <xf numFmtId="0" fontId="39" fillId="3" borderId="65" xfId="0" applyFont="1" applyFill="1" applyBorder="1" applyAlignment="1" applyProtection="1">
      <alignment horizontal="right"/>
      <protection hidden="1"/>
    </xf>
    <xf numFmtId="0" fontId="46" fillId="3" borderId="5" xfId="0" applyFont="1" applyFill="1" applyBorder="1" applyAlignment="1" applyProtection="1">
      <alignment horizontal="center"/>
      <protection hidden="1"/>
    </xf>
    <xf numFmtId="0" fontId="54" fillId="3" borderId="0" xfId="0" applyFont="1" applyFill="1" applyAlignment="1" applyProtection="1">
      <alignment horizontal="center" vertical="center"/>
      <protection hidden="1"/>
    </xf>
    <xf numFmtId="0" fontId="39" fillId="3" borderId="0" xfId="0" applyFont="1" applyFill="1" applyAlignment="1" applyProtection="1">
      <alignment horizontal="center" wrapText="1"/>
      <protection hidden="1"/>
    </xf>
    <xf numFmtId="0" fontId="0" fillId="3" borderId="0" xfId="0" applyFill="1" applyAlignment="1" applyProtection="1">
      <alignment horizontal="center"/>
      <protection hidden="1"/>
    </xf>
    <xf numFmtId="0" fontId="0" fillId="3" borderId="0" xfId="0" applyFill="1" applyAlignment="1" applyProtection="1">
      <alignment vertical="center"/>
      <protection hidden="1"/>
    </xf>
    <xf numFmtId="0" fontId="0" fillId="3" borderId="0" xfId="0" applyFill="1" applyAlignment="1" applyProtection="1">
      <alignment horizontal="center"/>
      <protection hidden="1"/>
    </xf>
    <xf numFmtId="0" fontId="0" fillId="3" borderId="0" xfId="0" applyFill="1" applyAlignment="1" applyProtection="1">
      <alignment vertical="center"/>
      <protection hidden="1"/>
    </xf>
    <xf numFmtId="0" fontId="18" fillId="0" borderId="0" xfId="0" applyFont="1"/>
    <xf numFmtId="0" fontId="0" fillId="3" borderId="0" xfId="0" applyFill="1" applyBorder="1" applyAlignment="1" applyProtection="1">
      <alignment horizontal="center" vertical="center"/>
      <protection hidden="1"/>
    </xf>
    <xf numFmtId="0" fontId="16" fillId="3" borderId="0" xfId="0" applyFont="1" applyFill="1" applyBorder="1" applyAlignment="1" applyProtection="1">
      <alignment horizontal="center" vertical="center"/>
      <protection hidden="1"/>
    </xf>
    <xf numFmtId="0" fontId="0" fillId="3" borderId="0" xfId="0" applyFill="1" applyBorder="1" applyAlignment="1">
      <alignment horizontal="center" vertical="center"/>
    </xf>
    <xf numFmtId="0" fontId="35" fillId="3" borderId="0" xfId="0" applyFont="1" applyFill="1" applyBorder="1" applyAlignment="1" applyProtection="1">
      <alignment horizontal="center" vertical="center"/>
      <protection hidden="1"/>
    </xf>
    <xf numFmtId="0" fontId="55" fillId="3" borderId="0" xfId="0" applyFont="1" applyFill="1" applyBorder="1" applyAlignment="1" applyProtection="1">
      <alignment horizontal="center" vertical="center"/>
      <protection hidden="1"/>
    </xf>
    <xf numFmtId="0" fontId="0" fillId="0" borderId="0" xfId="0" applyAlignment="1">
      <alignment horizontal="center"/>
    </xf>
    <xf numFmtId="0" fontId="11" fillId="2" borderId="24" xfId="0" applyFont="1" applyFill="1" applyBorder="1" applyAlignment="1" applyProtection="1">
      <alignment vertical="center"/>
      <protection locked="0"/>
    </xf>
    <xf numFmtId="0" fontId="2" fillId="2" borderId="24" xfId="0" applyFont="1" applyFill="1" applyBorder="1" applyAlignment="1" applyProtection="1">
      <alignment vertical="center"/>
      <protection hidden="1"/>
    </xf>
    <xf numFmtId="0" fontId="11" fillId="2" borderId="91" xfId="0" applyFont="1" applyFill="1" applyBorder="1" applyAlignment="1" applyProtection="1">
      <alignment vertical="center"/>
      <protection locked="0"/>
    </xf>
    <xf numFmtId="0" fontId="2" fillId="2" borderId="91" xfId="0" applyFont="1" applyFill="1" applyBorder="1" applyAlignment="1" applyProtection="1">
      <alignment vertical="center"/>
      <protection hidden="1"/>
    </xf>
    <xf numFmtId="0" fontId="11" fillId="2" borderId="13" xfId="0" applyFont="1" applyFill="1" applyBorder="1" applyAlignment="1" applyProtection="1">
      <alignment vertical="center"/>
      <protection locked="0"/>
    </xf>
    <xf numFmtId="0" fontId="2" fillId="2" borderId="13" xfId="0" applyFont="1" applyFill="1" applyBorder="1" applyAlignment="1" applyProtection="1">
      <alignment vertical="center"/>
      <protection hidden="1"/>
    </xf>
    <xf numFmtId="0" fontId="11" fillId="2" borderId="90" xfId="0" applyFont="1" applyFill="1" applyBorder="1" applyAlignment="1" applyProtection="1">
      <alignment vertical="center"/>
      <protection locked="0"/>
    </xf>
    <xf numFmtId="0" fontId="2" fillId="2" borderId="90" xfId="0" applyFont="1" applyFill="1" applyBorder="1" applyAlignment="1" applyProtection="1">
      <alignment vertical="center"/>
      <protection hidden="1"/>
    </xf>
    <xf numFmtId="0" fontId="11" fillId="2" borderId="94" xfId="0" applyFont="1" applyFill="1" applyBorder="1" applyAlignment="1" applyProtection="1">
      <alignment vertical="center"/>
      <protection locked="0"/>
    </xf>
    <xf numFmtId="0" fontId="2" fillId="2" borderId="94" xfId="0" applyFont="1" applyFill="1" applyBorder="1" applyAlignment="1" applyProtection="1">
      <alignment vertical="center"/>
      <protection hidden="1"/>
    </xf>
    <xf numFmtId="0" fontId="11" fillId="2" borderId="24" xfId="0" applyFont="1" applyFill="1" applyBorder="1" applyAlignment="1" applyProtection="1">
      <alignment horizontal="left" vertical="center"/>
      <protection locked="0"/>
    </xf>
    <xf numFmtId="0" fontId="11" fillId="2" borderId="91" xfId="0" applyFont="1" applyFill="1" applyBorder="1" applyAlignment="1" applyProtection="1">
      <alignment horizontal="left" vertical="center"/>
      <protection locked="0"/>
    </xf>
    <xf numFmtId="0" fontId="11" fillId="2" borderId="90" xfId="0" applyFont="1" applyFill="1" applyBorder="1" applyAlignment="1" applyProtection="1">
      <alignment horizontal="left" vertical="center"/>
      <protection locked="0"/>
    </xf>
    <xf numFmtId="0" fontId="11" fillId="2" borderId="13" xfId="0" applyFont="1" applyFill="1" applyBorder="1" applyAlignment="1" applyProtection="1">
      <alignment horizontal="left" vertical="center"/>
      <protection locked="0"/>
    </xf>
    <xf numFmtId="0" fontId="11" fillId="2" borderId="94" xfId="0" applyFont="1" applyFill="1" applyBorder="1" applyAlignment="1" applyProtection="1">
      <alignment horizontal="left" vertical="center"/>
      <protection locked="0"/>
    </xf>
    <xf numFmtId="0" fontId="11" fillId="2" borderId="92" xfId="0" applyFont="1" applyFill="1" applyBorder="1" applyAlignment="1" applyProtection="1">
      <alignment vertical="center"/>
      <protection locked="0"/>
    </xf>
    <xf numFmtId="0" fontId="2" fillId="2" borderId="92" xfId="0" applyFont="1" applyFill="1" applyBorder="1" applyAlignment="1" applyProtection="1">
      <alignment vertical="center"/>
      <protection hidden="1"/>
    </xf>
    <xf numFmtId="0" fontId="11" fillId="2" borderId="92" xfId="0" applyFont="1" applyFill="1" applyBorder="1" applyAlignment="1" applyProtection="1">
      <alignment horizontal="left" vertical="center"/>
      <protection locked="0"/>
    </xf>
    <xf numFmtId="0" fontId="0" fillId="3" borderId="0" xfId="0" applyFill="1" applyAlignment="1" applyProtection="1">
      <alignment horizontal="center" vertical="center"/>
      <protection hidden="1"/>
    </xf>
    <xf numFmtId="0" fontId="0" fillId="3" borderId="0" xfId="0" applyFill="1" applyAlignment="1" applyProtection="1">
      <alignment horizontal="left" vertical="center"/>
      <protection hidden="1"/>
    </xf>
    <xf numFmtId="0" fontId="0" fillId="3" borderId="4" xfId="0" applyFill="1" applyBorder="1" applyAlignment="1" applyProtection="1">
      <alignment horizontal="center" vertical="center"/>
      <protection hidden="1"/>
    </xf>
    <xf numFmtId="0" fontId="0" fillId="3" borderId="64" xfId="0" applyFill="1" applyBorder="1" applyAlignment="1" applyProtection="1">
      <alignment horizontal="center" vertical="center"/>
      <protection hidden="1"/>
    </xf>
    <xf numFmtId="0" fontId="0" fillId="3" borderId="92" xfId="0" applyFill="1" applyBorder="1" applyAlignment="1" applyProtection="1">
      <alignment horizontal="left" vertical="center"/>
      <protection hidden="1"/>
    </xf>
    <xf numFmtId="0" fontId="0" fillId="3" borderId="106" xfId="0" applyFill="1" applyBorder="1" applyAlignment="1" applyProtection="1">
      <alignment horizontal="center" vertical="center"/>
      <protection hidden="1"/>
    </xf>
    <xf numFmtId="0" fontId="0" fillId="3" borderId="105" xfId="0" applyFill="1" applyBorder="1" applyAlignment="1" applyProtection="1">
      <alignment horizontal="left" vertical="center"/>
      <protection hidden="1"/>
    </xf>
    <xf numFmtId="0" fontId="0" fillId="3" borderId="1" xfId="0" applyFill="1" applyBorder="1" applyAlignment="1" applyProtection="1">
      <alignment horizontal="center" vertical="center"/>
      <protection hidden="1"/>
    </xf>
    <xf numFmtId="0" fontId="0" fillId="3" borderId="2" xfId="0" applyFill="1" applyBorder="1" applyAlignment="1" applyProtection="1">
      <alignment horizontal="left" vertical="center"/>
      <protection hidden="1"/>
    </xf>
    <xf numFmtId="0" fontId="16" fillId="3" borderId="0" xfId="0" applyFont="1" applyFill="1" applyAlignment="1" applyProtection="1">
      <alignment horizontal="center" vertical="center"/>
      <protection hidden="1"/>
    </xf>
    <xf numFmtId="0" fontId="16" fillId="3" borderId="0" xfId="0" applyFont="1" applyFill="1" applyAlignment="1" applyProtection="1">
      <alignment horizontal="left" vertical="center"/>
      <protection hidden="1"/>
    </xf>
    <xf numFmtId="0" fontId="11" fillId="2" borderId="24" xfId="0" applyFont="1" applyFill="1" applyBorder="1" applyAlignment="1" applyProtection="1">
      <alignment vertical="center"/>
      <protection locked="0"/>
    </xf>
    <xf numFmtId="0" fontId="2" fillId="2" borderId="24" xfId="0" applyFont="1" applyFill="1" applyBorder="1" applyAlignment="1" applyProtection="1">
      <alignment vertical="center"/>
      <protection hidden="1"/>
    </xf>
    <xf numFmtId="0" fontId="11" fillId="2" borderId="91" xfId="0" applyFont="1" applyFill="1" applyBorder="1" applyAlignment="1" applyProtection="1">
      <alignment vertical="center"/>
      <protection locked="0"/>
    </xf>
    <xf numFmtId="0" fontId="2" fillId="2" borderId="91" xfId="0" applyFont="1" applyFill="1" applyBorder="1" applyAlignment="1" applyProtection="1">
      <alignment vertical="center"/>
      <protection hidden="1"/>
    </xf>
    <xf numFmtId="0" fontId="11" fillId="2" borderId="13" xfId="0" applyFont="1" applyFill="1" applyBorder="1" applyAlignment="1" applyProtection="1">
      <alignment vertical="center"/>
      <protection locked="0"/>
    </xf>
    <xf numFmtId="0" fontId="2" fillId="2" borderId="13" xfId="0" applyFont="1" applyFill="1" applyBorder="1" applyAlignment="1" applyProtection="1">
      <alignment vertical="center"/>
      <protection hidden="1"/>
    </xf>
    <xf numFmtId="0" fontId="11" fillId="2" borderId="90" xfId="0" applyFont="1" applyFill="1" applyBorder="1" applyAlignment="1" applyProtection="1">
      <alignment vertical="center"/>
      <protection locked="0"/>
    </xf>
    <xf numFmtId="0" fontId="2" fillId="2" borderId="90" xfId="0" applyFont="1" applyFill="1" applyBorder="1" applyAlignment="1" applyProtection="1">
      <alignment vertical="center"/>
      <protection hidden="1"/>
    </xf>
    <xf numFmtId="0" fontId="11" fillId="2" borderId="94" xfId="0" applyFont="1" applyFill="1" applyBorder="1" applyAlignment="1" applyProtection="1">
      <alignment vertical="center"/>
      <protection locked="0"/>
    </xf>
    <xf numFmtId="0" fontId="2" fillId="2" borderId="94" xfId="0" applyFont="1" applyFill="1" applyBorder="1" applyAlignment="1" applyProtection="1">
      <alignment vertical="center"/>
      <protection hidden="1"/>
    </xf>
    <xf numFmtId="0" fontId="11" fillId="2" borderId="24" xfId="0" applyFont="1" applyFill="1" applyBorder="1" applyAlignment="1" applyProtection="1">
      <alignment horizontal="left" vertical="center"/>
      <protection locked="0"/>
    </xf>
    <xf numFmtId="0" fontId="11" fillId="2" borderId="91" xfId="0" applyFont="1" applyFill="1" applyBorder="1" applyAlignment="1" applyProtection="1">
      <alignment horizontal="left" vertical="center"/>
      <protection locked="0"/>
    </xf>
    <xf numFmtId="0" fontId="11" fillId="2" borderId="90" xfId="0" applyFont="1" applyFill="1" applyBorder="1" applyAlignment="1" applyProtection="1">
      <alignment horizontal="left" vertical="center"/>
      <protection locked="0"/>
    </xf>
    <xf numFmtId="0" fontId="11" fillId="2" borderId="13" xfId="0" applyFont="1" applyFill="1" applyBorder="1" applyAlignment="1" applyProtection="1">
      <alignment horizontal="left" vertical="center"/>
      <protection locked="0"/>
    </xf>
    <xf numFmtId="0" fontId="11" fillId="2" borderId="94" xfId="0" applyFont="1" applyFill="1" applyBorder="1" applyAlignment="1" applyProtection="1">
      <alignment horizontal="left" vertical="center"/>
      <protection locked="0"/>
    </xf>
    <xf numFmtId="0" fontId="11" fillId="2" borderId="92" xfId="0" applyFont="1" applyFill="1" applyBorder="1" applyAlignment="1" applyProtection="1">
      <alignment vertical="center"/>
      <protection locked="0"/>
    </xf>
    <xf numFmtId="0" fontId="2" fillId="2" borderId="92" xfId="0" applyFont="1" applyFill="1" applyBorder="1" applyAlignment="1" applyProtection="1">
      <alignment vertical="center"/>
      <protection hidden="1"/>
    </xf>
    <xf numFmtId="0" fontId="11" fillId="2" borderId="92" xfId="0" applyFont="1" applyFill="1" applyBorder="1" applyAlignment="1" applyProtection="1">
      <alignment horizontal="left" vertical="center"/>
      <protection locked="0"/>
    </xf>
    <xf numFmtId="0" fontId="0" fillId="3" borderId="0" xfId="0" applyFill="1" applyAlignment="1" applyProtection="1">
      <alignment horizontal="center" vertical="center"/>
      <protection hidden="1"/>
    </xf>
    <xf numFmtId="0" fontId="11" fillId="2" borderId="24" xfId="0" applyFont="1" applyFill="1" applyBorder="1" applyAlignment="1" applyProtection="1">
      <alignment vertical="center"/>
      <protection locked="0"/>
    </xf>
    <xf numFmtId="0" fontId="11" fillId="2" borderId="91" xfId="0" applyFont="1" applyFill="1" applyBorder="1" applyAlignment="1" applyProtection="1">
      <alignment vertical="center"/>
      <protection locked="0"/>
    </xf>
    <xf numFmtId="0" fontId="11" fillId="2" borderId="90" xfId="0" applyFont="1" applyFill="1" applyBorder="1" applyAlignment="1" applyProtection="1">
      <alignment vertical="center"/>
      <protection locked="0"/>
    </xf>
    <xf numFmtId="0" fontId="0" fillId="3" borderId="0" xfId="0" applyFill="1" applyAlignment="1" applyProtection="1">
      <alignment horizontal="left" vertical="center"/>
      <protection hidden="1"/>
    </xf>
    <xf numFmtId="0" fontId="0" fillId="3" borderId="4" xfId="0" applyFill="1" applyBorder="1" applyAlignment="1" applyProtection="1">
      <alignment horizontal="center" vertical="center"/>
      <protection hidden="1"/>
    </xf>
    <xf numFmtId="0" fontId="0" fillId="3" borderId="64" xfId="0" applyFill="1" applyBorder="1" applyAlignment="1" applyProtection="1">
      <alignment horizontal="center" vertical="center"/>
      <protection hidden="1"/>
    </xf>
    <xf numFmtId="0" fontId="0" fillId="3" borderId="92" xfId="0" applyFill="1" applyBorder="1" applyAlignment="1" applyProtection="1">
      <alignment horizontal="left" vertical="center"/>
      <protection hidden="1"/>
    </xf>
    <xf numFmtId="0" fontId="0" fillId="3" borderId="106" xfId="0" applyFill="1" applyBorder="1" applyAlignment="1" applyProtection="1">
      <alignment horizontal="center" vertical="center"/>
      <protection hidden="1"/>
    </xf>
    <xf numFmtId="0" fontId="0" fillId="3" borderId="105" xfId="0" applyFill="1" applyBorder="1" applyAlignment="1" applyProtection="1">
      <alignment horizontal="left" vertical="center"/>
      <protection hidden="1"/>
    </xf>
    <xf numFmtId="0" fontId="0" fillId="3" borderId="1" xfId="0" applyFill="1" applyBorder="1" applyAlignment="1" applyProtection="1">
      <alignment horizontal="center" vertical="center"/>
      <protection hidden="1"/>
    </xf>
    <xf numFmtId="0" fontId="0" fillId="3" borderId="2" xfId="0" applyFill="1" applyBorder="1" applyAlignment="1" applyProtection="1">
      <alignment horizontal="left" vertical="center"/>
      <protection hidden="1"/>
    </xf>
    <xf numFmtId="0" fontId="16" fillId="3" borderId="0" xfId="0" applyFont="1" applyFill="1" applyAlignment="1" applyProtection="1">
      <alignment horizontal="center" vertical="center"/>
      <protection hidden="1"/>
    </xf>
    <xf numFmtId="0" fontId="11" fillId="2" borderId="24" xfId="0" applyFont="1" applyFill="1" applyBorder="1" applyAlignment="1" applyProtection="1">
      <alignment horizontal="left" vertical="center"/>
      <protection locked="0"/>
    </xf>
    <xf numFmtId="0" fontId="11" fillId="2" borderId="91" xfId="0" applyFont="1" applyFill="1" applyBorder="1" applyAlignment="1" applyProtection="1">
      <alignment horizontal="left" vertical="center"/>
      <protection locked="0"/>
    </xf>
    <xf numFmtId="0" fontId="11" fillId="2" borderId="90" xfId="0" applyFont="1" applyFill="1" applyBorder="1" applyAlignment="1" applyProtection="1">
      <alignment horizontal="left" vertical="center"/>
      <protection locked="0"/>
    </xf>
    <xf numFmtId="0" fontId="16" fillId="3" borderId="0" xfId="0" applyFont="1" applyFill="1" applyAlignment="1" applyProtection="1">
      <alignment horizontal="left" vertical="center"/>
      <protection hidden="1"/>
    </xf>
    <xf numFmtId="0" fontId="0" fillId="0" borderId="0" xfId="0" applyFill="1" applyAlignment="1">
      <alignment horizontal="center"/>
    </xf>
    <xf numFmtId="0" fontId="11" fillId="2" borderId="24" xfId="0" applyFont="1" applyFill="1" applyBorder="1" applyAlignment="1" applyProtection="1">
      <alignment vertical="center"/>
      <protection locked="0"/>
    </xf>
    <xf numFmtId="0" fontId="2" fillId="2" borderId="24" xfId="0" applyFont="1" applyFill="1" applyBorder="1" applyAlignment="1" applyProtection="1">
      <alignment vertical="center"/>
      <protection hidden="1"/>
    </xf>
    <xf numFmtId="0" fontId="11" fillId="2" borderId="91" xfId="0" applyFont="1" applyFill="1" applyBorder="1" applyAlignment="1" applyProtection="1">
      <alignment vertical="center"/>
      <protection locked="0"/>
    </xf>
    <xf numFmtId="0" fontId="2" fillId="2" borderId="91" xfId="0" applyFont="1" applyFill="1" applyBorder="1" applyAlignment="1" applyProtection="1">
      <alignment vertical="center"/>
      <protection hidden="1"/>
    </xf>
    <xf numFmtId="0" fontId="11" fillId="2" borderId="13" xfId="0" applyFont="1" applyFill="1" applyBorder="1" applyAlignment="1" applyProtection="1">
      <alignment vertical="center"/>
      <protection locked="0"/>
    </xf>
    <xf numFmtId="0" fontId="2" fillId="2" borderId="13" xfId="0" applyFont="1" applyFill="1" applyBorder="1" applyAlignment="1" applyProtection="1">
      <alignment vertical="center"/>
      <protection hidden="1"/>
    </xf>
    <xf numFmtId="0" fontId="11" fillId="2" borderId="90" xfId="0" applyFont="1" applyFill="1" applyBorder="1" applyAlignment="1" applyProtection="1">
      <alignment vertical="center"/>
      <protection locked="0"/>
    </xf>
    <xf numFmtId="0" fontId="2" fillId="2" borderId="90" xfId="0" applyFont="1" applyFill="1" applyBorder="1" applyAlignment="1" applyProtection="1">
      <alignment vertical="center"/>
      <protection hidden="1"/>
    </xf>
    <xf numFmtId="0" fontId="11" fillId="2" borderId="94" xfId="0" applyFont="1" applyFill="1" applyBorder="1" applyAlignment="1" applyProtection="1">
      <alignment vertical="center"/>
      <protection locked="0"/>
    </xf>
    <xf numFmtId="0" fontId="2" fillId="2" borderId="94" xfId="0" applyFont="1" applyFill="1" applyBorder="1" applyAlignment="1" applyProtection="1">
      <alignment vertical="center"/>
      <protection hidden="1"/>
    </xf>
    <xf numFmtId="0" fontId="11" fillId="2" borderId="24" xfId="0" applyFont="1" applyFill="1" applyBorder="1" applyAlignment="1" applyProtection="1">
      <alignment horizontal="left" vertical="center"/>
      <protection locked="0"/>
    </xf>
    <xf numFmtId="0" fontId="11" fillId="2" borderId="91" xfId="0" applyFont="1" applyFill="1" applyBorder="1" applyAlignment="1" applyProtection="1">
      <alignment horizontal="left" vertical="center"/>
      <protection locked="0"/>
    </xf>
    <xf numFmtId="0" fontId="11" fillId="2" borderId="90" xfId="0" applyFont="1" applyFill="1" applyBorder="1" applyAlignment="1" applyProtection="1">
      <alignment horizontal="left" vertical="center"/>
      <protection locked="0"/>
    </xf>
    <xf numFmtId="0" fontId="11" fillId="2" borderId="13" xfId="0" applyFont="1" applyFill="1" applyBorder="1" applyAlignment="1" applyProtection="1">
      <alignment horizontal="left" vertical="center"/>
      <protection locked="0"/>
    </xf>
    <xf numFmtId="0" fontId="11" fillId="2" borderId="94" xfId="0" applyFont="1" applyFill="1" applyBorder="1" applyAlignment="1" applyProtection="1">
      <alignment horizontal="left" vertical="center"/>
      <protection locked="0"/>
    </xf>
    <xf numFmtId="0" fontId="11" fillId="2" borderId="92" xfId="0" applyFont="1" applyFill="1" applyBorder="1" applyAlignment="1" applyProtection="1">
      <alignment vertical="center"/>
      <protection locked="0"/>
    </xf>
    <xf numFmtId="0" fontId="2" fillId="2" borderId="92" xfId="0" applyFont="1" applyFill="1" applyBorder="1" applyAlignment="1" applyProtection="1">
      <alignment vertical="center"/>
      <protection hidden="1"/>
    </xf>
    <xf numFmtId="0" fontId="11" fillId="2" borderId="92" xfId="0" applyFont="1" applyFill="1" applyBorder="1" applyAlignment="1" applyProtection="1">
      <alignment horizontal="left" vertical="center"/>
      <protection locked="0"/>
    </xf>
    <xf numFmtId="0" fontId="0" fillId="3" borderId="0" xfId="0" applyFill="1" applyAlignment="1" applyProtection="1">
      <alignment horizontal="center" vertical="center"/>
      <protection hidden="1"/>
    </xf>
    <xf numFmtId="0" fontId="0" fillId="3" borderId="0" xfId="0" applyFill="1" applyAlignment="1" applyProtection="1">
      <alignment horizontal="left" vertical="center"/>
      <protection hidden="1"/>
    </xf>
    <xf numFmtId="0" fontId="0" fillId="3" borderId="4" xfId="0" applyFill="1" applyBorder="1" applyAlignment="1" applyProtection="1">
      <alignment horizontal="center" vertical="center"/>
      <protection hidden="1"/>
    </xf>
    <xf numFmtId="0" fontId="0" fillId="3" borderId="64" xfId="0" applyFill="1" applyBorder="1" applyAlignment="1" applyProtection="1">
      <alignment horizontal="center" vertical="center"/>
      <protection hidden="1"/>
    </xf>
    <xf numFmtId="0" fontId="0" fillId="3" borderId="92" xfId="0" applyFill="1" applyBorder="1" applyAlignment="1" applyProtection="1">
      <alignment horizontal="left" vertical="center"/>
      <protection hidden="1"/>
    </xf>
    <xf numFmtId="0" fontId="0" fillId="3" borderId="106" xfId="0" applyFill="1" applyBorder="1" applyAlignment="1" applyProtection="1">
      <alignment horizontal="center" vertical="center"/>
      <protection hidden="1"/>
    </xf>
    <xf numFmtId="0" fontId="0" fillId="3" borderId="105" xfId="0" applyFill="1" applyBorder="1" applyAlignment="1" applyProtection="1">
      <alignment horizontal="left" vertical="center"/>
      <protection hidden="1"/>
    </xf>
    <xf numFmtId="0" fontId="0" fillId="3" borderId="1" xfId="0" applyFill="1" applyBorder="1" applyAlignment="1" applyProtection="1">
      <alignment horizontal="center" vertical="center"/>
      <protection hidden="1"/>
    </xf>
    <xf numFmtId="0" fontId="0" fillId="3" borderId="2" xfId="0" applyFill="1" applyBorder="1" applyAlignment="1" applyProtection="1">
      <alignment horizontal="left" vertical="center"/>
      <protection hidden="1"/>
    </xf>
    <xf numFmtId="0" fontId="16" fillId="3" borderId="0" xfId="0" applyFont="1" applyFill="1" applyAlignment="1" applyProtection="1">
      <alignment horizontal="center" vertical="center"/>
      <protection hidden="1"/>
    </xf>
    <xf numFmtId="0" fontId="16" fillId="3" borderId="0" xfId="0" applyFont="1" applyFill="1" applyAlignment="1" applyProtection="1">
      <alignment horizontal="left" vertical="center"/>
      <protection hidden="1"/>
    </xf>
    <xf numFmtId="0" fontId="11" fillId="2" borderId="24" xfId="0" applyFont="1" applyFill="1" applyBorder="1" applyAlignment="1" applyProtection="1">
      <alignment vertical="center"/>
      <protection locked="0"/>
    </xf>
    <xf numFmtId="0" fontId="2" fillId="2" borderId="24" xfId="0" applyFont="1" applyFill="1" applyBorder="1" applyAlignment="1" applyProtection="1">
      <alignment vertical="center"/>
      <protection hidden="1"/>
    </xf>
    <xf numFmtId="0" fontId="11" fillId="2" borderId="91" xfId="0" applyFont="1" applyFill="1" applyBorder="1" applyAlignment="1" applyProtection="1">
      <alignment vertical="center"/>
      <protection locked="0"/>
    </xf>
    <xf numFmtId="0" fontId="2" fillId="2" borderId="91" xfId="0" applyFont="1" applyFill="1" applyBorder="1" applyAlignment="1" applyProtection="1">
      <alignment vertical="center"/>
      <protection hidden="1"/>
    </xf>
    <xf numFmtId="0" fontId="11" fillId="2" borderId="13" xfId="0" applyFont="1" applyFill="1" applyBorder="1" applyAlignment="1" applyProtection="1">
      <alignment vertical="center"/>
      <protection locked="0"/>
    </xf>
    <xf numFmtId="0" fontId="2" fillId="2" borderId="13" xfId="0" applyFont="1" applyFill="1" applyBorder="1" applyAlignment="1" applyProtection="1">
      <alignment vertical="center"/>
      <protection hidden="1"/>
    </xf>
    <xf numFmtId="0" fontId="11" fillId="2" borderId="90" xfId="0" applyFont="1" applyFill="1" applyBorder="1" applyAlignment="1" applyProtection="1">
      <alignment vertical="center"/>
      <protection locked="0"/>
    </xf>
    <xf numFmtId="0" fontId="2" fillId="2" borderId="90" xfId="0" applyFont="1" applyFill="1" applyBorder="1" applyAlignment="1" applyProtection="1">
      <alignment vertical="center"/>
      <protection hidden="1"/>
    </xf>
    <xf numFmtId="0" fontId="11" fillId="2" borderId="94" xfId="0" applyFont="1" applyFill="1" applyBorder="1" applyAlignment="1" applyProtection="1">
      <alignment vertical="center"/>
      <protection locked="0"/>
    </xf>
    <xf numFmtId="0" fontId="2" fillId="2" borderId="94" xfId="0" applyFont="1" applyFill="1" applyBorder="1" applyAlignment="1" applyProtection="1">
      <alignment vertical="center"/>
      <protection hidden="1"/>
    </xf>
    <xf numFmtId="0" fontId="11" fillId="2" borderId="24" xfId="0" applyFont="1" applyFill="1" applyBorder="1" applyAlignment="1" applyProtection="1">
      <alignment horizontal="left" vertical="center"/>
      <protection locked="0"/>
    </xf>
    <xf numFmtId="0" fontId="11" fillId="2" borderId="91" xfId="0" applyFont="1" applyFill="1" applyBorder="1" applyAlignment="1" applyProtection="1">
      <alignment horizontal="left" vertical="center"/>
      <protection locked="0"/>
    </xf>
    <xf numFmtId="0" fontId="11" fillId="2" borderId="90" xfId="0" applyFont="1" applyFill="1" applyBorder="1" applyAlignment="1" applyProtection="1">
      <alignment horizontal="left" vertical="center"/>
      <protection locked="0"/>
    </xf>
    <xf numFmtId="0" fontId="11" fillId="2" borderId="13" xfId="0" applyFont="1" applyFill="1" applyBorder="1" applyAlignment="1" applyProtection="1">
      <alignment horizontal="left" vertical="center"/>
      <protection locked="0"/>
    </xf>
    <xf numFmtId="0" fontId="11" fillId="2" borderId="94" xfId="0" applyFont="1" applyFill="1" applyBorder="1" applyAlignment="1" applyProtection="1">
      <alignment horizontal="left" vertical="center"/>
      <protection locked="0"/>
    </xf>
    <xf numFmtId="0" fontId="11" fillId="2" borderId="92" xfId="0" applyFont="1" applyFill="1" applyBorder="1" applyAlignment="1" applyProtection="1">
      <alignment vertical="center"/>
      <protection locked="0"/>
    </xf>
    <xf numFmtId="0" fontId="2" fillId="2" borderId="92" xfId="0" applyFont="1" applyFill="1" applyBorder="1" applyAlignment="1" applyProtection="1">
      <alignment vertical="center"/>
      <protection hidden="1"/>
    </xf>
    <xf numFmtId="0" fontId="11" fillId="2" borderId="92" xfId="0" applyFont="1" applyFill="1" applyBorder="1" applyAlignment="1" applyProtection="1">
      <alignment horizontal="left" vertical="center"/>
      <protection locked="0"/>
    </xf>
    <xf numFmtId="0" fontId="0" fillId="3" borderId="0" xfId="0" applyFill="1" applyAlignment="1" applyProtection="1">
      <alignment horizontal="center" vertical="center"/>
      <protection hidden="1"/>
    </xf>
    <xf numFmtId="0" fontId="11" fillId="2" borderId="24" xfId="0" applyFont="1" applyFill="1" applyBorder="1" applyAlignment="1" applyProtection="1">
      <alignment vertical="center"/>
      <protection locked="0"/>
    </xf>
    <xf numFmtId="0" fontId="2" fillId="2" borderId="24" xfId="0" applyFont="1" applyFill="1" applyBorder="1" applyAlignment="1" applyProtection="1">
      <alignment vertical="center"/>
      <protection hidden="1"/>
    </xf>
    <xf numFmtId="0" fontId="11" fillId="2" borderId="91" xfId="0" applyFont="1" applyFill="1" applyBorder="1" applyAlignment="1" applyProtection="1">
      <alignment vertical="center"/>
      <protection locked="0"/>
    </xf>
    <xf numFmtId="0" fontId="2" fillId="2" borderId="91" xfId="0" applyFont="1" applyFill="1" applyBorder="1" applyAlignment="1" applyProtection="1">
      <alignment vertical="center"/>
      <protection hidden="1"/>
    </xf>
    <xf numFmtId="0" fontId="11" fillId="2" borderId="13" xfId="0" applyFont="1" applyFill="1" applyBorder="1" applyAlignment="1" applyProtection="1">
      <alignment vertical="center"/>
      <protection locked="0"/>
    </xf>
    <xf numFmtId="0" fontId="2" fillId="2" borderId="13" xfId="0" applyFont="1" applyFill="1" applyBorder="1" applyAlignment="1" applyProtection="1">
      <alignment vertical="center"/>
      <protection hidden="1"/>
    </xf>
    <xf numFmtId="0" fontId="11" fillId="2" borderId="90" xfId="0" applyFont="1" applyFill="1" applyBorder="1" applyAlignment="1" applyProtection="1">
      <alignment vertical="center"/>
      <protection locked="0"/>
    </xf>
    <xf numFmtId="0" fontId="2" fillId="2" borderId="90" xfId="0" applyFont="1" applyFill="1" applyBorder="1" applyAlignment="1" applyProtection="1">
      <alignment vertical="center"/>
      <protection hidden="1"/>
    </xf>
    <xf numFmtId="0" fontId="11" fillId="2" borderId="94" xfId="0" applyFont="1" applyFill="1" applyBorder="1" applyAlignment="1" applyProtection="1">
      <alignment vertical="center"/>
      <protection locked="0"/>
    </xf>
    <xf numFmtId="0" fontId="2" fillId="2" borderId="94" xfId="0" applyFont="1" applyFill="1" applyBorder="1" applyAlignment="1" applyProtection="1">
      <alignment vertical="center"/>
      <protection hidden="1"/>
    </xf>
    <xf numFmtId="0" fontId="0" fillId="3" borderId="0" xfId="0" applyFill="1" applyAlignment="1" applyProtection="1">
      <alignment horizontal="left" vertical="center"/>
      <protection hidden="1"/>
    </xf>
    <xf numFmtId="0" fontId="0" fillId="3" borderId="4" xfId="0" applyFill="1" applyBorder="1" applyAlignment="1" applyProtection="1">
      <alignment horizontal="center" vertical="center"/>
      <protection hidden="1"/>
    </xf>
    <xf numFmtId="0" fontId="0" fillId="3" borderId="64" xfId="0" applyFill="1" applyBorder="1" applyAlignment="1" applyProtection="1">
      <alignment horizontal="center" vertical="center"/>
      <protection hidden="1"/>
    </xf>
    <xf numFmtId="0" fontId="0" fillId="3" borderId="92" xfId="0" applyFill="1" applyBorder="1" applyAlignment="1" applyProtection="1">
      <alignment horizontal="left" vertical="center"/>
      <protection hidden="1"/>
    </xf>
    <xf numFmtId="0" fontId="0" fillId="3" borderId="106" xfId="0" applyFill="1" applyBorder="1" applyAlignment="1" applyProtection="1">
      <alignment horizontal="center" vertical="center"/>
      <protection hidden="1"/>
    </xf>
    <xf numFmtId="0" fontId="0" fillId="3" borderId="105" xfId="0" applyFill="1" applyBorder="1" applyAlignment="1" applyProtection="1">
      <alignment horizontal="left" vertical="center"/>
      <protection hidden="1"/>
    </xf>
    <xf numFmtId="0" fontId="0" fillId="3" borderId="1" xfId="0" applyFill="1" applyBorder="1" applyAlignment="1" applyProtection="1">
      <alignment horizontal="center" vertical="center"/>
      <protection hidden="1"/>
    </xf>
    <xf numFmtId="0" fontId="0" fillId="3" borderId="2" xfId="0" applyFill="1" applyBorder="1" applyAlignment="1" applyProtection="1">
      <alignment horizontal="left" vertical="center"/>
      <protection hidden="1"/>
    </xf>
    <xf numFmtId="0" fontId="16" fillId="3" borderId="0" xfId="0" applyFont="1" applyFill="1" applyAlignment="1" applyProtection="1">
      <alignment horizontal="center" vertical="center"/>
      <protection hidden="1"/>
    </xf>
    <xf numFmtId="0" fontId="11" fillId="2" borderId="24" xfId="0" applyFont="1" applyFill="1" applyBorder="1" applyAlignment="1" applyProtection="1">
      <alignment horizontal="left" vertical="center"/>
      <protection locked="0"/>
    </xf>
    <xf numFmtId="0" fontId="11" fillId="2" borderId="91" xfId="0" applyFont="1" applyFill="1" applyBorder="1" applyAlignment="1" applyProtection="1">
      <alignment horizontal="left" vertical="center"/>
      <protection locked="0"/>
    </xf>
    <xf numFmtId="0" fontId="11" fillId="2" borderId="90" xfId="0" applyFont="1" applyFill="1" applyBorder="1" applyAlignment="1" applyProtection="1">
      <alignment horizontal="left" vertical="center"/>
      <protection locked="0"/>
    </xf>
    <xf numFmtId="0" fontId="11" fillId="2" borderId="13" xfId="0" applyFont="1" applyFill="1" applyBorder="1" applyAlignment="1" applyProtection="1">
      <alignment horizontal="left" vertical="center"/>
      <protection locked="0"/>
    </xf>
    <xf numFmtId="0" fontId="11" fillId="2" borderId="94" xfId="0" applyFont="1" applyFill="1" applyBorder="1" applyAlignment="1" applyProtection="1">
      <alignment horizontal="left" vertical="center"/>
      <protection locked="0"/>
    </xf>
    <xf numFmtId="0" fontId="11" fillId="2" borderId="92" xfId="0" applyFont="1" applyFill="1" applyBorder="1" applyAlignment="1" applyProtection="1">
      <alignment vertical="center"/>
      <protection locked="0"/>
    </xf>
    <xf numFmtId="0" fontId="2" fillId="2" borderId="92" xfId="0" applyFont="1" applyFill="1" applyBorder="1" applyAlignment="1" applyProtection="1">
      <alignment vertical="center"/>
      <protection hidden="1"/>
    </xf>
    <xf numFmtId="0" fontId="11" fillId="2" borderId="92" xfId="0" applyFont="1" applyFill="1" applyBorder="1" applyAlignment="1" applyProtection="1">
      <alignment horizontal="left" vertical="center"/>
      <protection locked="0"/>
    </xf>
    <xf numFmtId="0" fontId="16" fillId="3" borderId="0" xfId="0" applyFont="1" applyFill="1" applyAlignment="1" applyProtection="1">
      <alignment horizontal="left" vertical="center"/>
      <protection hidden="1"/>
    </xf>
    <xf numFmtId="0" fontId="56" fillId="5" borderId="125" xfId="0" applyFont="1" applyFill="1" applyBorder="1" applyAlignment="1">
      <alignment horizontal="right" vertical="center" wrapText="1"/>
    </xf>
    <xf numFmtId="0" fontId="56" fillId="5" borderId="126" xfId="0" applyFont="1" applyFill="1" applyBorder="1" applyAlignment="1">
      <alignment horizontal="right" vertical="center" wrapText="1"/>
    </xf>
    <xf numFmtId="0" fontId="56" fillId="5" borderId="127" xfId="0" applyFont="1" applyFill="1" applyBorder="1" applyAlignment="1">
      <alignment horizontal="right" vertical="center" wrapText="1"/>
    </xf>
    <xf numFmtId="0" fontId="56" fillId="5" borderId="0" xfId="0" applyFont="1" applyFill="1" applyAlignment="1">
      <alignment horizontal="right" vertical="center" wrapText="1"/>
    </xf>
    <xf numFmtId="0" fontId="56" fillId="5" borderId="125" xfId="0" applyFont="1" applyFill="1" applyBorder="1" applyAlignment="1">
      <alignment vertical="center" wrapText="1"/>
    </xf>
    <xf numFmtId="0" fontId="56" fillId="5" borderId="126" xfId="0" applyFont="1" applyFill="1" applyBorder="1" applyAlignment="1">
      <alignment vertical="center" wrapText="1"/>
    </xf>
    <xf numFmtId="0" fontId="56" fillId="5" borderId="127" xfId="0" applyFont="1" applyFill="1" applyBorder="1" applyAlignment="1">
      <alignment vertical="center" wrapText="1"/>
    </xf>
    <xf numFmtId="0" fontId="56" fillId="5" borderId="0" xfId="0" applyFont="1" applyFill="1" applyAlignment="1">
      <alignment vertical="center" wrapText="1"/>
    </xf>
    <xf numFmtId="0" fontId="0" fillId="3" borderId="0" xfId="0" applyFill="1" applyAlignment="1" applyProtection="1">
      <alignment horizontal="center"/>
      <protection hidden="1"/>
    </xf>
    <xf numFmtId="0" fontId="0" fillId="3" borderId="0" xfId="0" applyFill="1" applyAlignment="1" applyProtection="1">
      <alignment vertical="center"/>
      <protection hidden="1"/>
    </xf>
    <xf numFmtId="0" fontId="0" fillId="0" borderId="0" xfId="0" applyBorder="1" applyAlignment="1" applyProtection="1">
      <alignment vertical="center"/>
      <protection hidden="1"/>
    </xf>
    <xf numFmtId="0" fontId="57" fillId="0" borderId="0" xfId="0" applyFont="1" applyBorder="1"/>
    <xf numFmtId="14" fontId="58" fillId="0" borderId="0" xfId="0" applyNumberFormat="1" applyFont="1" applyBorder="1" applyAlignment="1" applyProtection="1">
      <alignment horizontal="center" vertical="center"/>
      <protection hidden="1"/>
    </xf>
    <xf numFmtId="0" fontId="57" fillId="0" borderId="0" xfId="0" applyFont="1" applyBorder="1" applyAlignment="1" applyProtection="1">
      <alignment horizontal="center" vertical="center"/>
      <protection hidden="1"/>
    </xf>
    <xf numFmtId="0" fontId="57" fillId="0" borderId="0" xfId="0" applyFont="1" applyBorder="1" applyAlignment="1">
      <alignment horizontal="center" vertical="center"/>
    </xf>
    <xf numFmtId="49" fontId="0" fillId="0" borderId="0" xfId="0" applyNumberFormat="1"/>
    <xf numFmtId="0" fontId="57" fillId="0" borderId="0" xfId="0" applyFont="1" applyFill="1" applyBorder="1" applyAlignment="1">
      <alignment horizontal="center" vertical="center"/>
    </xf>
    <xf numFmtId="0" fontId="17" fillId="3" borderId="1" xfId="0" applyFont="1" applyFill="1" applyBorder="1" applyAlignment="1">
      <alignment horizontal="center" vertical="center"/>
    </xf>
    <xf numFmtId="0" fontId="17" fillId="3" borderId="4" xfId="0" applyFont="1" applyFill="1" applyBorder="1" applyAlignment="1">
      <alignment horizontal="center" vertical="center"/>
    </xf>
    <xf numFmtId="0" fontId="17" fillId="3" borderId="64" xfId="0" applyFont="1" applyFill="1" applyBorder="1" applyAlignment="1">
      <alignment horizontal="center" vertical="center"/>
    </xf>
    <xf numFmtId="0" fontId="31" fillId="4" borderId="1" xfId="0" applyFont="1" applyFill="1" applyBorder="1" applyAlignment="1" applyProtection="1">
      <alignment horizontal="center" vertical="center"/>
      <protection hidden="1"/>
    </xf>
    <xf numFmtId="0" fontId="31" fillId="4" borderId="2" xfId="0" applyFont="1" applyFill="1" applyBorder="1" applyAlignment="1" applyProtection="1">
      <alignment horizontal="center" vertical="center"/>
      <protection hidden="1"/>
    </xf>
    <xf numFmtId="0" fontId="31" fillId="4" borderId="3" xfId="0" applyFont="1" applyFill="1" applyBorder="1" applyAlignment="1" applyProtection="1">
      <alignment horizontal="center" vertical="center"/>
      <protection hidden="1"/>
    </xf>
    <xf numFmtId="0" fontId="31" fillId="4" borderId="4" xfId="0" applyFont="1" applyFill="1" applyBorder="1" applyAlignment="1" applyProtection="1">
      <alignment horizontal="center" vertical="center"/>
      <protection hidden="1"/>
    </xf>
    <xf numFmtId="0" fontId="31" fillId="4" borderId="0" xfId="0" applyFont="1" applyFill="1" applyAlignment="1" applyProtection="1">
      <alignment horizontal="center" vertical="center"/>
      <protection hidden="1"/>
    </xf>
    <xf numFmtId="0" fontId="31" fillId="4" borderId="5" xfId="0" applyFont="1" applyFill="1" applyBorder="1" applyAlignment="1" applyProtection="1">
      <alignment horizontal="center" vertical="center"/>
      <protection hidden="1"/>
    </xf>
    <xf numFmtId="0" fontId="3" fillId="3" borderId="0" xfId="0" applyFont="1" applyFill="1" applyAlignment="1" applyProtection="1">
      <alignment horizontal="center"/>
      <protection hidden="1"/>
    </xf>
    <xf numFmtId="0" fontId="0" fillId="3" borderId="0" xfId="0" applyFill="1" applyAlignment="1" applyProtection="1">
      <alignment horizontal="center"/>
      <protection hidden="1"/>
    </xf>
    <xf numFmtId="0" fontId="0" fillId="3" borderId="0" xfId="0" applyFill="1" applyAlignment="1" applyProtection="1">
      <alignment vertical="center"/>
      <protection hidden="1"/>
    </xf>
    <xf numFmtId="0" fontId="30" fillId="4" borderId="1" xfId="0" applyFont="1" applyFill="1" applyBorder="1" applyAlignment="1">
      <alignment horizontal="center" vertical="center"/>
    </xf>
    <xf numFmtId="0" fontId="30" fillId="4" borderId="64" xfId="0" applyFont="1" applyFill="1" applyBorder="1" applyAlignment="1">
      <alignment horizontal="center" vertical="center"/>
    </xf>
    <xf numFmtId="0" fontId="30" fillId="4" borderId="2" xfId="0" applyFont="1" applyFill="1" applyBorder="1" applyAlignment="1">
      <alignment horizontal="center" vertical="center"/>
    </xf>
    <xf numFmtId="0" fontId="30" fillId="4" borderId="65" xfId="0" applyFont="1" applyFill="1" applyBorder="1" applyAlignment="1">
      <alignment horizontal="center" vertical="center"/>
    </xf>
    <xf numFmtId="0" fontId="30" fillId="4" borderId="3" xfId="0" applyFont="1" applyFill="1" applyBorder="1" applyAlignment="1">
      <alignment horizontal="center" vertical="center"/>
    </xf>
    <xf numFmtId="0" fontId="30" fillId="4" borderId="66" xfId="0" applyFont="1" applyFill="1" applyBorder="1" applyAlignment="1">
      <alignment horizontal="center" vertical="center"/>
    </xf>
    <xf numFmtId="0" fontId="35" fillId="4" borderId="39" xfId="0" applyFont="1" applyFill="1" applyBorder="1" applyAlignment="1" applyProtection="1">
      <alignment horizontal="center" vertical="center"/>
      <protection hidden="1"/>
    </xf>
    <xf numFmtId="0" fontId="35" fillId="4" borderId="40" xfId="0" applyFont="1" applyFill="1" applyBorder="1" applyAlignment="1" applyProtection="1">
      <alignment horizontal="center" vertical="center"/>
      <protection hidden="1"/>
    </xf>
    <xf numFmtId="0" fontId="33" fillId="4" borderId="39" xfId="0" applyFont="1" applyFill="1" applyBorder="1" applyAlignment="1" applyProtection="1">
      <alignment horizontal="center"/>
      <protection hidden="1"/>
    </xf>
    <xf numFmtId="0" fontId="33" fillId="4" borderId="41" xfId="0" applyFont="1" applyFill="1" applyBorder="1" applyAlignment="1" applyProtection="1">
      <alignment horizontal="center"/>
      <protection hidden="1"/>
    </xf>
    <xf numFmtId="0" fontId="31" fillId="4" borderId="39" xfId="0" applyFont="1" applyFill="1" applyBorder="1" applyAlignment="1" applyProtection="1">
      <alignment horizontal="center" vertical="center"/>
      <protection hidden="1"/>
    </xf>
    <xf numFmtId="0" fontId="31" fillId="4" borderId="40" xfId="0" applyFont="1" applyFill="1" applyBorder="1" applyAlignment="1" applyProtection="1">
      <alignment horizontal="center" vertical="center"/>
      <protection hidden="1"/>
    </xf>
    <xf numFmtId="0" fontId="31" fillId="4" borderId="41" xfId="0" applyFont="1" applyFill="1" applyBorder="1" applyAlignment="1" applyProtection="1">
      <alignment horizontal="center" vertical="center"/>
      <protection hidden="1"/>
    </xf>
    <xf numFmtId="0" fontId="8" fillId="3" borderId="76" xfId="0" applyFont="1" applyFill="1" applyBorder="1" applyAlignment="1" applyProtection="1">
      <alignment horizontal="center" vertical="center"/>
      <protection locked="0"/>
    </xf>
    <xf numFmtId="0" fontId="8" fillId="3" borderId="63" xfId="0" applyFont="1" applyFill="1" applyBorder="1" applyAlignment="1" applyProtection="1">
      <alignment horizontal="center" vertical="center"/>
      <protection locked="0"/>
    </xf>
    <xf numFmtId="0" fontId="20" fillId="3" borderId="111" xfId="0" applyFont="1" applyFill="1" applyBorder="1" applyAlignment="1">
      <alignment horizontal="center" vertical="center"/>
    </xf>
    <xf numFmtId="0" fontId="20" fillId="3" borderId="112" xfId="0" applyFont="1" applyFill="1" applyBorder="1" applyAlignment="1">
      <alignment horizontal="center" vertical="center"/>
    </xf>
    <xf numFmtId="0" fontId="21" fillId="3" borderId="72" xfId="0" applyFont="1" applyFill="1" applyBorder="1" applyAlignment="1">
      <alignment horizontal="center" vertical="center"/>
    </xf>
    <xf numFmtId="0" fontId="21" fillId="3" borderId="62" xfId="0" applyFont="1" applyFill="1" applyBorder="1" applyAlignment="1">
      <alignment horizontal="center" vertical="center"/>
    </xf>
    <xf numFmtId="0" fontId="8" fillId="3" borderId="37" xfId="0" applyFont="1" applyFill="1" applyBorder="1" applyAlignment="1">
      <alignment horizontal="center" vertical="center"/>
    </xf>
    <xf numFmtId="0" fontId="8" fillId="3" borderId="57" xfId="0" applyFont="1" applyFill="1" applyBorder="1" applyAlignment="1">
      <alignment horizontal="center" vertical="center"/>
    </xf>
    <xf numFmtId="0" fontId="8" fillId="3" borderId="75" xfId="0" applyFont="1" applyFill="1" applyBorder="1" applyAlignment="1">
      <alignment horizontal="center" vertical="center"/>
    </xf>
    <xf numFmtId="0" fontId="8" fillId="3" borderId="61" xfId="0" applyFont="1" applyFill="1" applyBorder="1" applyAlignment="1">
      <alignment horizontal="center" vertical="center"/>
    </xf>
    <xf numFmtId="0" fontId="23" fillId="3" borderId="0" xfId="0" applyFont="1" applyFill="1" applyAlignment="1" applyProtection="1">
      <alignment horizontal="center"/>
      <protection locked="0"/>
    </xf>
    <xf numFmtId="0" fontId="33" fillId="4" borderId="40" xfId="0" applyFont="1" applyFill="1" applyBorder="1" applyAlignment="1" applyProtection="1">
      <alignment horizontal="center" vertical="center"/>
      <protection hidden="1"/>
    </xf>
    <xf numFmtId="0" fontId="34" fillId="4" borderId="41" xfId="0" applyFont="1" applyFill="1" applyBorder="1" applyAlignment="1" applyProtection="1">
      <alignment vertical="center"/>
      <protection hidden="1"/>
    </xf>
    <xf numFmtId="0" fontId="33" fillId="4" borderId="41" xfId="0" applyFont="1" applyFill="1" applyBorder="1" applyAlignment="1" applyProtection="1">
      <alignment horizontal="center" vertical="center"/>
      <protection hidden="1"/>
    </xf>
    <xf numFmtId="0" fontId="33" fillId="4" borderId="44" xfId="0" applyFont="1" applyFill="1" applyBorder="1" applyAlignment="1" applyProtection="1">
      <alignment horizontal="center" vertical="center"/>
      <protection hidden="1"/>
    </xf>
    <xf numFmtId="0" fontId="33" fillId="4" borderId="45" xfId="0" applyFont="1" applyFill="1" applyBorder="1" applyAlignment="1" applyProtection="1">
      <alignment horizontal="center" vertical="center"/>
      <protection hidden="1"/>
    </xf>
    <xf numFmtId="0" fontId="1" fillId="3" borderId="0" xfId="0" applyFont="1" applyFill="1" applyAlignment="1" applyProtection="1">
      <alignment horizontal="center"/>
      <protection locked="0"/>
    </xf>
    <xf numFmtId="0" fontId="35" fillId="4" borderId="41" xfId="0" applyFont="1" applyFill="1" applyBorder="1" applyAlignment="1" applyProtection="1">
      <alignment horizontal="center" vertical="center"/>
      <protection hidden="1"/>
    </xf>
    <xf numFmtId="0" fontId="48" fillId="3" borderId="0" xfId="0" applyFont="1" applyFill="1" applyAlignment="1" applyProtection="1">
      <alignment horizontal="center" vertical="center" textRotation="90" shrinkToFit="1"/>
      <protection hidden="1"/>
    </xf>
    <xf numFmtId="0" fontId="48" fillId="3" borderId="5" xfId="0" applyFont="1" applyFill="1" applyBorder="1" applyAlignment="1" applyProtection="1">
      <alignment horizontal="center" vertical="center" textRotation="90" shrinkToFit="1"/>
      <protection hidden="1"/>
    </xf>
    <xf numFmtId="0" fontId="48" fillId="3" borderId="7" xfId="0" applyFont="1" applyFill="1" applyBorder="1" applyAlignment="1" applyProtection="1">
      <alignment horizontal="center" vertical="center" textRotation="90" shrinkToFit="1"/>
      <protection hidden="1"/>
    </xf>
    <xf numFmtId="0" fontId="48" fillId="3" borderId="8" xfId="0" applyFont="1" applyFill="1" applyBorder="1" applyAlignment="1" applyProtection="1">
      <alignment horizontal="center" vertical="center" textRotation="90" shrinkToFit="1"/>
      <protection hidden="1"/>
    </xf>
    <xf numFmtId="0" fontId="36" fillId="3" borderId="39" xfId="0" applyFont="1" applyFill="1" applyBorder="1" applyAlignment="1" applyProtection="1">
      <alignment horizontal="center" vertical="center"/>
      <protection hidden="1"/>
    </xf>
    <xf numFmtId="0" fontId="36" fillId="3" borderId="40" xfId="0" applyFont="1" applyFill="1" applyBorder="1" applyAlignment="1" applyProtection="1">
      <alignment horizontal="center" vertical="center"/>
      <protection hidden="1"/>
    </xf>
    <xf numFmtId="0" fontId="36" fillId="3" borderId="41" xfId="0" applyFont="1" applyFill="1" applyBorder="1" applyAlignment="1" applyProtection="1">
      <alignment horizontal="center" vertical="center"/>
      <protection hidden="1"/>
    </xf>
    <xf numFmtId="0" fontId="19" fillId="3" borderId="19" xfId="0" applyFont="1" applyFill="1" applyBorder="1" applyAlignment="1" applyProtection="1">
      <alignment horizontal="center"/>
      <protection locked="0" hidden="1"/>
    </xf>
    <xf numFmtId="0" fontId="19" fillId="3" borderId="49" xfId="0" applyFont="1" applyFill="1" applyBorder="1" applyAlignment="1" applyProtection="1">
      <alignment horizontal="center"/>
      <protection locked="0" hidden="1"/>
    </xf>
    <xf numFmtId="0" fontId="49" fillId="3" borderId="1" xfId="0" applyFont="1" applyFill="1" applyBorder="1" applyAlignment="1" applyProtection="1">
      <alignment horizontal="center" vertical="center"/>
      <protection hidden="1"/>
    </xf>
    <xf numFmtId="0" fontId="49" fillId="3" borderId="2" xfId="0" applyFont="1" applyFill="1" applyBorder="1" applyAlignment="1" applyProtection="1">
      <alignment horizontal="center" vertical="center"/>
      <protection hidden="1"/>
    </xf>
    <xf numFmtId="0" fontId="49" fillId="3" borderId="9" xfId="0" applyFont="1" applyFill="1" applyBorder="1" applyAlignment="1" applyProtection="1">
      <alignment horizontal="center" vertical="center"/>
      <protection hidden="1"/>
    </xf>
    <xf numFmtId="0" fontId="49" fillId="3" borderId="7" xfId="0" applyFont="1" applyFill="1" applyBorder="1" applyAlignment="1" applyProtection="1">
      <alignment horizontal="center" vertical="center"/>
      <protection hidden="1"/>
    </xf>
    <xf numFmtId="0" fontId="19" fillId="3" borderId="44" xfId="0" applyFont="1" applyFill="1" applyBorder="1" applyAlignment="1" applyProtection="1">
      <alignment horizontal="center"/>
      <protection locked="0" hidden="1"/>
    </xf>
    <xf numFmtId="0" fontId="19" fillId="3" borderId="45" xfId="0" applyFont="1" applyFill="1" applyBorder="1" applyAlignment="1" applyProtection="1">
      <alignment horizontal="center"/>
      <protection locked="0" hidden="1"/>
    </xf>
    <xf numFmtId="0" fontId="48" fillId="3" borderId="6" xfId="0" applyFont="1" applyFill="1" applyBorder="1" applyAlignment="1" applyProtection="1">
      <alignment horizontal="center" vertical="center" textRotation="90"/>
      <protection hidden="1"/>
    </xf>
    <xf numFmtId="0" fontId="48" fillId="3" borderId="10" xfId="0" applyFont="1" applyFill="1" applyBorder="1" applyAlignment="1" applyProtection="1">
      <alignment horizontal="center" vertical="center" textRotation="90"/>
      <protection hidden="1"/>
    </xf>
    <xf numFmtId="0" fontId="19" fillId="3" borderId="39" xfId="0" applyFont="1" applyFill="1" applyBorder="1" applyAlignment="1" applyProtection="1">
      <alignment horizontal="center"/>
      <protection hidden="1"/>
    </xf>
    <xf numFmtId="0" fontId="19" fillId="3" borderId="40" xfId="0" applyFont="1" applyFill="1" applyBorder="1" applyAlignment="1" applyProtection="1">
      <alignment horizontal="center"/>
      <protection hidden="1"/>
    </xf>
    <xf numFmtId="0" fontId="19" fillId="3" borderId="41" xfId="0" applyFont="1" applyFill="1" applyBorder="1" applyAlignment="1" applyProtection="1">
      <alignment horizontal="center"/>
      <protection hidden="1"/>
    </xf>
    <xf numFmtId="0" fontId="33" fillId="3" borderId="64" xfId="0" applyFont="1" applyFill="1" applyBorder="1" applyAlignment="1" applyProtection="1">
      <alignment horizontal="center"/>
      <protection hidden="1"/>
    </xf>
    <xf numFmtId="0" fontId="34" fillId="3" borderId="66" xfId="0" applyFont="1" applyFill="1" applyBorder="1" applyProtection="1">
      <protection hidden="1"/>
    </xf>
    <xf numFmtId="0" fontId="33" fillId="3" borderId="9" xfId="0" applyFont="1" applyFill="1" applyBorder="1" applyAlignment="1" applyProtection="1">
      <alignment horizontal="center"/>
      <protection hidden="1"/>
    </xf>
    <xf numFmtId="0" fontId="34" fillId="3" borderId="8" xfId="0" applyFont="1" applyFill="1" applyBorder="1" applyProtection="1">
      <protection hidden="1"/>
    </xf>
    <xf numFmtId="0" fontId="33" fillId="3" borderId="39" xfId="0" applyFont="1" applyFill="1" applyBorder="1" applyAlignment="1" applyProtection="1">
      <alignment horizontal="center"/>
      <protection hidden="1"/>
    </xf>
    <xf numFmtId="0" fontId="34" fillId="3" borderId="41" xfId="0" applyFont="1" applyFill="1" applyBorder="1" applyProtection="1">
      <protection hidden="1"/>
    </xf>
    <xf numFmtId="0" fontId="52" fillId="3" borderId="39" xfId="0" applyFont="1" applyFill="1" applyBorder="1" applyAlignment="1" applyProtection="1">
      <alignment horizontal="center"/>
      <protection hidden="1"/>
    </xf>
    <xf numFmtId="0" fontId="52" fillId="3" borderId="40" xfId="0" applyFont="1" applyFill="1" applyBorder="1" applyAlignment="1" applyProtection="1">
      <alignment horizontal="center"/>
      <protection hidden="1"/>
    </xf>
    <xf numFmtId="0" fontId="39" fillId="3" borderId="39" xfId="0" applyFont="1" applyFill="1" applyBorder="1" applyAlignment="1" applyProtection="1">
      <alignment horizontal="center"/>
      <protection hidden="1"/>
    </xf>
    <xf numFmtId="0" fontId="39" fillId="3" borderId="40" xfId="0" applyFont="1" applyFill="1" applyBorder="1" applyAlignment="1" applyProtection="1">
      <alignment horizontal="center"/>
      <protection hidden="1"/>
    </xf>
    <xf numFmtId="0" fontId="39" fillId="3" borderId="41" xfId="0" applyFont="1" applyFill="1" applyBorder="1" applyAlignment="1" applyProtection="1">
      <alignment horizontal="center"/>
      <protection hidden="1"/>
    </xf>
    <xf numFmtId="0" fontId="52" fillId="3" borderId="64" xfId="0" applyFont="1" applyFill="1" applyBorder="1" applyAlignment="1" applyProtection="1">
      <alignment horizontal="center"/>
      <protection hidden="1"/>
    </xf>
    <xf numFmtId="0" fontId="52" fillId="3" borderId="65" xfId="0" applyFont="1" applyFill="1" applyBorder="1" applyAlignment="1" applyProtection="1">
      <alignment horizontal="center"/>
      <protection hidden="1"/>
    </xf>
    <xf numFmtId="0" fontId="39" fillId="3" borderId="64" xfId="0" applyFont="1" applyFill="1" applyBorder="1" applyAlignment="1" applyProtection="1">
      <alignment horizontal="center"/>
      <protection hidden="1"/>
    </xf>
    <xf numFmtId="0" fontId="39" fillId="3" borderId="65" xfId="0" applyFont="1" applyFill="1" applyBorder="1" applyAlignment="1" applyProtection="1">
      <alignment horizontal="center"/>
      <protection hidden="1"/>
    </xf>
    <xf numFmtId="0" fontId="39" fillId="3" borderId="66" xfId="0" applyFont="1" applyFill="1" applyBorder="1" applyAlignment="1" applyProtection="1">
      <alignment horizontal="center"/>
      <protection hidden="1"/>
    </xf>
    <xf numFmtId="0" fontId="52" fillId="3" borderId="7" xfId="0" applyFont="1" applyFill="1" applyBorder="1" applyAlignment="1" applyProtection="1">
      <alignment horizontal="center"/>
      <protection hidden="1"/>
    </xf>
    <xf numFmtId="0" fontId="39" fillId="3" borderId="7" xfId="0" applyFont="1" applyFill="1" applyBorder="1" applyAlignment="1" applyProtection="1">
      <alignment horizontal="center"/>
      <protection hidden="1"/>
    </xf>
    <xf numFmtId="0" fontId="19" fillId="3" borderId="0" xfId="0" applyFont="1" applyFill="1" applyAlignment="1" applyProtection="1">
      <alignment horizontal="right"/>
      <protection hidden="1"/>
    </xf>
    <xf numFmtId="0" fontId="39" fillId="3" borderId="64" xfId="0" applyFont="1" applyFill="1" applyBorder="1" applyAlignment="1" applyProtection="1">
      <alignment horizontal="center"/>
      <protection locked="0" hidden="1"/>
    </xf>
    <xf numFmtId="0" fontId="39" fillId="3" borderId="65" xfId="0" applyFont="1" applyFill="1" applyBorder="1" applyAlignment="1" applyProtection="1">
      <alignment horizontal="center"/>
      <protection locked="0" hidden="1"/>
    </xf>
    <xf numFmtId="0" fontId="39" fillId="3" borderId="66" xfId="0" applyFont="1" applyFill="1" applyBorder="1" applyAlignment="1" applyProtection="1">
      <alignment horizontal="center"/>
      <protection locked="0" hidden="1"/>
    </xf>
    <xf numFmtId="0" fontId="53" fillId="3" borderId="0" xfId="0" applyFont="1" applyFill="1" applyAlignment="1" applyProtection="1">
      <alignment horizontal="center"/>
      <protection hidden="1"/>
    </xf>
    <xf numFmtId="0" fontId="53" fillId="3" borderId="5" xfId="0" applyFont="1" applyFill="1" applyBorder="1" applyAlignment="1" applyProtection="1">
      <alignment horizontal="center"/>
      <protection hidden="1"/>
    </xf>
    <xf numFmtId="0" fontId="48" fillId="3" borderId="1" xfId="0" applyFont="1" applyFill="1" applyBorder="1" applyAlignment="1" applyProtection="1">
      <alignment horizontal="center" vertical="center"/>
      <protection hidden="1"/>
    </xf>
    <xf numFmtId="0" fontId="48" fillId="3" borderId="2" xfId="0" applyFont="1" applyFill="1" applyBorder="1" applyAlignment="1" applyProtection="1">
      <alignment horizontal="center" vertical="center"/>
      <protection hidden="1"/>
    </xf>
    <xf numFmtId="0" fontId="48" fillId="3" borderId="3" xfId="0" applyFont="1" applyFill="1" applyBorder="1" applyAlignment="1" applyProtection="1">
      <alignment horizontal="center" vertical="center"/>
      <protection hidden="1"/>
    </xf>
    <xf numFmtId="0" fontId="48" fillId="3" borderId="64" xfId="0" applyFont="1" applyFill="1" applyBorder="1" applyAlignment="1" applyProtection="1">
      <alignment horizontal="center" vertical="center"/>
      <protection hidden="1"/>
    </xf>
    <xf numFmtId="0" fontId="48" fillId="3" borderId="65" xfId="0" applyFont="1" applyFill="1" applyBorder="1" applyAlignment="1" applyProtection="1">
      <alignment horizontal="center" vertical="center"/>
      <protection hidden="1"/>
    </xf>
    <xf numFmtId="0" fontId="48" fillId="3" borderId="66" xfId="0" applyFont="1" applyFill="1" applyBorder="1" applyAlignment="1" applyProtection="1">
      <alignment horizontal="center" vertical="center"/>
      <protection hidden="1"/>
    </xf>
    <xf numFmtId="0" fontId="39" fillId="3" borderId="39" xfId="0" applyFont="1" applyFill="1" applyBorder="1" applyAlignment="1" applyProtection="1">
      <alignment horizontal="center"/>
      <protection locked="0" hidden="1"/>
    </xf>
    <xf numFmtId="0" fontId="39" fillId="3" borderId="40" xfId="0" applyFont="1" applyFill="1" applyBorder="1" applyAlignment="1" applyProtection="1">
      <alignment horizontal="center"/>
      <protection locked="0" hidden="1"/>
    </xf>
    <xf numFmtId="0" fontId="39" fillId="3" borderId="41" xfId="0" applyFont="1" applyFill="1" applyBorder="1" applyAlignment="1" applyProtection="1">
      <alignment horizontal="center"/>
      <protection locked="0" hidden="1"/>
    </xf>
    <xf numFmtId="0" fontId="19" fillId="3" borderId="29" xfId="0" applyFont="1" applyFill="1" applyBorder="1" applyAlignment="1" applyProtection="1">
      <alignment horizontal="center" vertical="center"/>
      <protection hidden="1"/>
    </xf>
    <xf numFmtId="0" fontId="19" fillId="3" borderId="30" xfId="0" applyFont="1" applyFill="1" applyBorder="1" applyAlignment="1" applyProtection="1">
      <alignment horizontal="center" vertical="center"/>
      <protection hidden="1"/>
    </xf>
    <xf numFmtId="0" fontId="19" fillId="3" borderId="32" xfId="0" applyFont="1" applyFill="1" applyBorder="1" applyAlignment="1" applyProtection="1">
      <alignment horizontal="center" vertical="center"/>
      <protection hidden="1"/>
    </xf>
    <xf numFmtId="0" fontId="41" fillId="3" borderId="0" xfId="0" applyFont="1" applyFill="1" applyAlignment="1" applyProtection="1">
      <alignment horizontal="center" vertical="top" wrapText="1"/>
      <protection hidden="1"/>
    </xf>
    <xf numFmtId="0" fontId="43" fillId="3" borderId="95" xfId="0" applyFont="1" applyFill="1" applyBorder="1" applyAlignment="1" applyProtection="1">
      <alignment horizontal="center"/>
      <protection hidden="1"/>
    </xf>
    <xf numFmtId="0" fontId="43" fillId="3" borderId="102" xfId="0" applyFont="1" applyFill="1" applyBorder="1" applyAlignment="1" applyProtection="1">
      <alignment horizontal="center"/>
      <protection hidden="1"/>
    </xf>
    <xf numFmtId="0" fontId="19" fillId="3" borderId="0" xfId="0" applyFont="1" applyFill="1" applyAlignment="1" applyProtection="1">
      <alignment horizontal="center" vertical="center"/>
      <protection hidden="1"/>
    </xf>
  </cellXfs>
  <cellStyles count="5">
    <cellStyle name="Hiperlink" xfId="1" builtinId="8" hidden="1"/>
    <cellStyle name="Hiperlink" xfId="3" builtinId="8" hidden="1"/>
    <cellStyle name="Hiperlink Visitado" xfId="2" builtinId="9" hidden="1"/>
    <cellStyle name="Hiperlink Visitado" xfId="4" builtinId="9" hidden="1"/>
    <cellStyle name="Normal" xfId="0" builtinId="0"/>
  </cellStyles>
  <dxfs count="919"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  <numFmt numFmtId="0" formatCode="General"/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</dxfs>
  <tableStyles count="0" defaultTableStyle="TableStyleMedium9" defaultPivotStyle="PivotStyleLight16"/>
  <colors>
    <mruColors>
      <color rgb="FF339933"/>
      <color rgb="FFFFFF99"/>
      <color rgb="FFCCFF99"/>
      <color rgb="FFDEA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List" dx="16" fmlaLink="$Y$8" fmlaRange="'Classificação 1ª fase'!$M$34:$M$66" sel="1" val="0"/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4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5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7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8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9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0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4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5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7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8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9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83</xdr:row>
      <xdr:rowOff>19050</xdr:rowOff>
    </xdr:from>
    <xdr:to>
      <xdr:col>11</xdr:col>
      <xdr:colOff>150449</xdr:colOff>
      <xdr:row>83</xdr:row>
      <xdr:rowOff>424684</xdr:rowOff>
    </xdr:to>
    <xdr:pic>
      <xdr:nvPicPr>
        <xdr:cNvPr id="110" name="Picture 5" descr="copa do mundo">
          <a:extLst>
            <a:ext uri="{FF2B5EF4-FFF2-40B4-BE49-F238E27FC236}">
              <a16:creationId xmlns:a16="http://schemas.microsoft.com/office/drawing/2014/main" id="{00000000-0008-0000-0100-00006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34150" y="33223200"/>
          <a:ext cx="360000" cy="405634"/>
        </a:xfrm>
        <a:prstGeom prst="rect">
          <a:avLst/>
        </a:prstGeom>
        <a:noFill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47625</xdr:rowOff>
        </xdr:from>
        <xdr:to>
          <xdr:col>2</xdr:col>
          <xdr:colOff>390525</xdr:colOff>
          <xdr:row>7</xdr:row>
          <xdr:rowOff>38100</xdr:rowOff>
        </xdr:to>
        <xdr:sp macro="" textlink="">
          <xdr:nvSpPr>
            <xdr:cNvPr id="4097" name="List Box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8</xdr:col>
      <xdr:colOff>1271732</xdr:colOff>
      <xdr:row>40</xdr:row>
      <xdr:rowOff>8083</xdr:rowOff>
    </xdr:from>
    <xdr:to>
      <xdr:col>8</xdr:col>
      <xdr:colOff>1703732</xdr:colOff>
      <xdr:row>40</xdr:row>
      <xdr:rowOff>437196</xdr:rowOff>
    </xdr:to>
    <xdr:pic>
      <xdr:nvPicPr>
        <xdr:cNvPr id="418" name="Imagem 17" descr="escudo_croacia_200.png">
          <a:extLst>
            <a:ext uri="{FF2B5EF4-FFF2-40B4-BE49-F238E27FC236}">
              <a16:creationId xmlns:a16="http://schemas.microsoft.com/office/drawing/2014/main" id="{00000000-0008-0000-0100-0000A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441209" y="15109538"/>
          <a:ext cx="432000" cy="4291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25</xdr:row>
      <xdr:rowOff>12122</xdr:rowOff>
    </xdr:from>
    <xdr:to>
      <xdr:col>4</xdr:col>
      <xdr:colOff>448164</xdr:colOff>
      <xdr:row>26</xdr:row>
      <xdr:rowOff>969</xdr:rowOff>
    </xdr:to>
    <xdr:pic>
      <xdr:nvPicPr>
        <xdr:cNvPr id="447" name="Imagem 77" descr="escudo_argentina_200.png">
          <a:extLst>
            <a:ext uri="{FF2B5EF4-FFF2-40B4-BE49-F238E27FC236}">
              <a16:creationId xmlns:a16="http://schemas.microsoft.com/office/drawing/2014/main" id="{00000000-0008-0000-0100-0000B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925619" y="8489372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22</xdr:row>
      <xdr:rowOff>20782</xdr:rowOff>
    </xdr:from>
    <xdr:to>
      <xdr:col>4</xdr:col>
      <xdr:colOff>426805</xdr:colOff>
      <xdr:row>23</xdr:row>
      <xdr:rowOff>8282</xdr:rowOff>
    </xdr:to>
    <xdr:pic>
      <xdr:nvPicPr>
        <xdr:cNvPr id="448" name="Imagem 78" descr="escudo_argentina_200.png">
          <a:extLst>
            <a:ext uri="{FF2B5EF4-FFF2-40B4-BE49-F238E27FC236}">
              <a16:creationId xmlns:a16="http://schemas.microsoft.com/office/drawing/2014/main" id="{00000000-0008-0000-0100-0000C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904260" y="7173191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16</xdr:row>
      <xdr:rowOff>12124</xdr:rowOff>
    </xdr:from>
    <xdr:to>
      <xdr:col>9</xdr:col>
      <xdr:colOff>0</xdr:colOff>
      <xdr:row>17</xdr:row>
      <xdr:rowOff>971</xdr:rowOff>
    </xdr:to>
    <xdr:pic>
      <xdr:nvPicPr>
        <xdr:cNvPr id="449" name="Imagem 79" descr="escudo_ira_200.png">
          <a:extLst>
            <a:ext uri="{FF2B5EF4-FFF2-40B4-BE49-F238E27FC236}">
              <a16:creationId xmlns:a16="http://schemas.microsoft.com/office/drawing/2014/main" id="{00000000-0008-0000-0100-0000C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454487" y="4514851"/>
          <a:ext cx="42949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37</xdr:row>
      <xdr:rowOff>12700</xdr:rowOff>
    </xdr:from>
    <xdr:to>
      <xdr:col>9</xdr:col>
      <xdr:colOff>0</xdr:colOff>
      <xdr:row>38</xdr:row>
      <xdr:rowOff>201</xdr:rowOff>
    </xdr:to>
    <xdr:pic>
      <xdr:nvPicPr>
        <xdr:cNvPr id="453" name="Imagem 85" descr="escudo_alemanha_200.png">
          <a:extLst>
            <a:ext uri="{FF2B5EF4-FFF2-40B4-BE49-F238E27FC236}">
              <a16:creationId xmlns:a16="http://schemas.microsoft.com/office/drawing/2014/main" id="{00000000-0008-0000-0100-0000C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454487" y="13789314"/>
          <a:ext cx="42949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34</xdr:row>
      <xdr:rowOff>17319</xdr:rowOff>
    </xdr:from>
    <xdr:to>
      <xdr:col>4</xdr:col>
      <xdr:colOff>435463</xdr:colOff>
      <xdr:row>35</xdr:row>
      <xdr:rowOff>7706</xdr:rowOff>
    </xdr:to>
    <xdr:pic>
      <xdr:nvPicPr>
        <xdr:cNvPr id="454" name="Imagem 87" descr="escudo_alemanha_200.png">
          <a:extLst>
            <a:ext uri="{FF2B5EF4-FFF2-40B4-BE49-F238E27FC236}">
              <a16:creationId xmlns:a16="http://schemas.microsoft.com/office/drawing/2014/main" id="{00000000-0008-0000-0100-0000C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912918" y="1246909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53</xdr:row>
      <xdr:rowOff>16742</xdr:rowOff>
    </xdr:from>
    <xdr:to>
      <xdr:col>4</xdr:col>
      <xdr:colOff>444122</xdr:colOff>
      <xdr:row>54</xdr:row>
      <xdr:rowOff>4243</xdr:rowOff>
    </xdr:to>
    <xdr:pic>
      <xdr:nvPicPr>
        <xdr:cNvPr id="457" name="Imagem 90" descr="escudo_portugal_200.png">
          <a:extLst>
            <a:ext uri="{FF2B5EF4-FFF2-40B4-BE49-F238E27FC236}">
              <a16:creationId xmlns:a16="http://schemas.microsoft.com/office/drawing/2014/main" id="{00000000-0008-0000-0100-0000C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921577" y="20859174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40</xdr:row>
      <xdr:rowOff>12700</xdr:rowOff>
    </xdr:from>
    <xdr:to>
      <xdr:col>4</xdr:col>
      <xdr:colOff>435461</xdr:colOff>
      <xdr:row>41</xdr:row>
      <xdr:rowOff>201</xdr:rowOff>
    </xdr:to>
    <xdr:pic>
      <xdr:nvPicPr>
        <xdr:cNvPr id="479" name="Picture 478" descr="marrocos.png">
          <a:extLst>
            <a:ext uri="{FF2B5EF4-FFF2-40B4-BE49-F238E27FC236}">
              <a16:creationId xmlns:a16="http://schemas.microsoft.com/office/drawing/2014/main" id="{00000000-0008-0000-0100-0000D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2916" y="15114155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31</xdr:row>
      <xdr:rowOff>3464</xdr:rowOff>
    </xdr:from>
    <xdr:to>
      <xdr:col>8</xdr:col>
      <xdr:colOff>1699114</xdr:colOff>
      <xdr:row>31</xdr:row>
      <xdr:rowOff>432578</xdr:rowOff>
    </xdr:to>
    <xdr:pic>
      <xdr:nvPicPr>
        <xdr:cNvPr id="487" name="Picture 486" descr="dinamarca.png">
          <a:extLst>
            <a:ext uri="{FF2B5EF4-FFF2-40B4-BE49-F238E27FC236}">
              <a16:creationId xmlns:a16="http://schemas.microsoft.com/office/drawing/2014/main" id="{00000000-0008-0000-0100-0000E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6591" y="11130396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30</xdr:row>
      <xdr:rowOff>12700</xdr:rowOff>
    </xdr:from>
    <xdr:to>
      <xdr:col>4</xdr:col>
      <xdr:colOff>443544</xdr:colOff>
      <xdr:row>31</xdr:row>
      <xdr:rowOff>200</xdr:rowOff>
    </xdr:to>
    <xdr:pic>
      <xdr:nvPicPr>
        <xdr:cNvPr id="504" name="Picture 503" descr="tunisia.png">
          <a:extLst>
            <a:ext uri="{FF2B5EF4-FFF2-40B4-BE49-F238E27FC236}">
              <a16:creationId xmlns:a16="http://schemas.microsoft.com/office/drawing/2014/main" id="{00000000-0008-0000-01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0999" y="10698018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38</xdr:row>
      <xdr:rowOff>11417</xdr:rowOff>
    </xdr:from>
    <xdr:to>
      <xdr:col>8</xdr:col>
      <xdr:colOff>1705841</xdr:colOff>
      <xdr:row>38</xdr:row>
      <xdr:rowOff>437709</xdr:rowOff>
    </xdr:to>
    <xdr:pic>
      <xdr:nvPicPr>
        <xdr:cNvPr id="114" name="Imagem 30" descr="escudo_espanha_200.png">
          <a:extLst>
            <a:ext uri="{FF2B5EF4-FFF2-40B4-BE49-F238E27FC236}">
              <a16:creationId xmlns:a16="http://schemas.microsoft.com/office/drawing/2014/main" id="{00000000-0008-0000-01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445002" y="14229644"/>
          <a:ext cx="430316" cy="4262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26</xdr:row>
      <xdr:rowOff>9988</xdr:rowOff>
    </xdr:from>
    <xdr:to>
      <xdr:col>8</xdr:col>
      <xdr:colOff>1698341</xdr:colOff>
      <xdr:row>26</xdr:row>
      <xdr:rowOff>436280</xdr:rowOff>
    </xdr:to>
    <xdr:pic>
      <xdr:nvPicPr>
        <xdr:cNvPr id="121" name="Imagem 78" descr="escudo_argentina_200.png">
          <a:extLst>
            <a:ext uri="{FF2B5EF4-FFF2-40B4-BE49-F238E27FC236}">
              <a16:creationId xmlns:a16="http://schemas.microsoft.com/office/drawing/2014/main" id="{00000000-0008-0000-01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435818" y="8928852"/>
          <a:ext cx="432000" cy="4262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46</xdr:row>
      <xdr:rowOff>6511</xdr:rowOff>
    </xdr:from>
    <xdr:to>
      <xdr:col>4</xdr:col>
      <xdr:colOff>441211</xdr:colOff>
      <xdr:row>46</xdr:row>
      <xdr:rowOff>435625</xdr:rowOff>
    </xdr:to>
    <xdr:pic>
      <xdr:nvPicPr>
        <xdr:cNvPr id="132" name="Imagem 65" descr="escudo_suica_200.png">
          <a:extLst>
            <a:ext uri="{FF2B5EF4-FFF2-40B4-BE49-F238E27FC236}">
              <a16:creationId xmlns:a16="http://schemas.microsoft.com/office/drawing/2014/main" id="{00000000-0008-0000-01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918666" y="17757647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39</xdr:row>
      <xdr:rowOff>16935</xdr:rowOff>
    </xdr:from>
    <xdr:to>
      <xdr:col>8</xdr:col>
      <xdr:colOff>1704957</xdr:colOff>
      <xdr:row>40</xdr:row>
      <xdr:rowOff>10143</xdr:rowOff>
    </xdr:to>
    <xdr:pic>
      <xdr:nvPicPr>
        <xdr:cNvPr id="133" name="Imagem 87" descr="escudo_alemanha_200.png">
          <a:extLst>
            <a:ext uri="{FF2B5EF4-FFF2-40B4-BE49-F238E27FC236}">
              <a16:creationId xmlns:a16="http://schemas.microsoft.com/office/drawing/2014/main" id="{00000000-0008-0000-01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442434" y="14676776"/>
          <a:ext cx="432000" cy="434822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1</xdr:row>
      <xdr:rowOff>42674</xdr:rowOff>
    </xdr:from>
    <xdr:to>
      <xdr:col>8</xdr:col>
      <xdr:colOff>1478102</xdr:colOff>
      <xdr:row>7</xdr:row>
      <xdr:rowOff>14758</xdr:rowOff>
    </xdr:to>
    <xdr:pic>
      <xdr:nvPicPr>
        <xdr:cNvPr id="14" name="Imagem 13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767579" y="129265"/>
          <a:ext cx="2880000" cy="1218993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21404</xdr:rowOff>
    </xdr:from>
    <xdr:to>
      <xdr:col>3</xdr:col>
      <xdr:colOff>1044021</xdr:colOff>
      <xdr:row>7</xdr:row>
      <xdr:rowOff>112921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646006" y="21404"/>
          <a:ext cx="1207765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9</xdr:row>
      <xdr:rowOff>194582</xdr:rowOff>
    </xdr:from>
    <xdr:to>
      <xdr:col>4</xdr:col>
      <xdr:colOff>453405</xdr:colOff>
      <xdr:row>10</xdr:row>
      <xdr:rowOff>430244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930860" y="1848468"/>
          <a:ext cx="432000" cy="434821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12</xdr:row>
      <xdr:rowOff>13267</xdr:rowOff>
    </xdr:from>
    <xdr:to>
      <xdr:col>4</xdr:col>
      <xdr:colOff>455976</xdr:colOff>
      <xdr:row>13</xdr:row>
      <xdr:rowOff>6476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913582" y="2763745"/>
          <a:ext cx="432001" cy="432001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14</xdr:row>
      <xdr:rowOff>5134</xdr:rowOff>
    </xdr:from>
    <xdr:to>
      <xdr:col>8</xdr:col>
      <xdr:colOff>1689303</xdr:colOff>
      <xdr:row>14</xdr:row>
      <xdr:rowOff>437135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405083" y="3633196"/>
          <a:ext cx="432001" cy="4320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52</xdr:row>
      <xdr:rowOff>10702</xdr:rowOff>
    </xdr:from>
    <xdr:to>
      <xdr:col>4</xdr:col>
      <xdr:colOff>432000</xdr:colOff>
      <xdr:row>53</xdr:row>
      <xdr:rowOff>3910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889607" y="2031286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57</xdr:row>
      <xdr:rowOff>2567</xdr:rowOff>
    </xdr:from>
    <xdr:to>
      <xdr:col>8</xdr:col>
      <xdr:colOff>1697434</xdr:colOff>
      <xdr:row>57</xdr:row>
      <xdr:rowOff>434567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413215" y="2249869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55</xdr:row>
      <xdr:rowOff>15839</xdr:rowOff>
    </xdr:from>
    <xdr:to>
      <xdr:col>8</xdr:col>
      <xdr:colOff>1700002</xdr:colOff>
      <xdr:row>56</xdr:row>
      <xdr:rowOff>9047</xdr:rowOff>
    </xdr:to>
    <xdr:pic>
      <xdr:nvPicPr>
        <xdr:cNvPr id="12" name="Imagem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415783" y="21634378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10</xdr:row>
      <xdr:rowOff>4087</xdr:rowOff>
    </xdr:from>
    <xdr:to>
      <xdr:col>8</xdr:col>
      <xdr:colOff>1697182</xdr:colOff>
      <xdr:row>10</xdr:row>
      <xdr:rowOff>438908</xdr:rowOff>
    </xdr:to>
    <xdr:pic>
      <xdr:nvPicPr>
        <xdr:cNvPr id="15" name="Imagem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545493" y="1857132"/>
          <a:ext cx="321166" cy="4348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13</xdr:row>
      <xdr:rowOff>9282</xdr:rowOff>
    </xdr:from>
    <xdr:to>
      <xdr:col>8</xdr:col>
      <xdr:colOff>1667742</xdr:colOff>
      <xdr:row>14</xdr:row>
      <xdr:rowOff>2489</xdr:rowOff>
    </xdr:to>
    <xdr:pic>
      <xdr:nvPicPr>
        <xdr:cNvPr id="17" name="Imagem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516053" y="3187168"/>
          <a:ext cx="321166" cy="434821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15</xdr:row>
      <xdr:rowOff>5818</xdr:rowOff>
    </xdr:from>
    <xdr:to>
      <xdr:col>4</xdr:col>
      <xdr:colOff>365414</xdr:colOff>
      <xdr:row>16</xdr:row>
      <xdr:rowOff>373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953703" y="4066932"/>
          <a:ext cx="321166" cy="4348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11</xdr:row>
      <xdr:rowOff>8659</xdr:rowOff>
    </xdr:from>
    <xdr:to>
      <xdr:col>4</xdr:col>
      <xdr:colOff>440659</xdr:colOff>
      <xdr:row>12</xdr:row>
      <xdr:rowOff>392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918114" y="2303318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12</xdr:row>
      <xdr:rowOff>13854</xdr:rowOff>
    </xdr:from>
    <xdr:to>
      <xdr:col>8</xdr:col>
      <xdr:colOff>1710082</xdr:colOff>
      <xdr:row>13</xdr:row>
      <xdr:rowOff>4241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447559" y="2750127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15</xdr:row>
      <xdr:rowOff>1731</xdr:rowOff>
    </xdr:from>
    <xdr:to>
      <xdr:col>8</xdr:col>
      <xdr:colOff>1697959</xdr:colOff>
      <xdr:row>15</xdr:row>
      <xdr:rowOff>433731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435436" y="406284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11</xdr:row>
      <xdr:rowOff>8658</xdr:rowOff>
    </xdr:from>
    <xdr:to>
      <xdr:col>9</xdr:col>
      <xdr:colOff>0</xdr:colOff>
      <xdr:row>12</xdr:row>
      <xdr:rowOff>391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459683" y="2303317"/>
          <a:ext cx="424294" cy="4320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13</xdr:row>
      <xdr:rowOff>13854</xdr:rowOff>
    </xdr:from>
    <xdr:to>
      <xdr:col>4</xdr:col>
      <xdr:colOff>420831</xdr:colOff>
      <xdr:row>14</xdr:row>
      <xdr:rowOff>4240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905992" y="3191740"/>
          <a:ext cx="424294" cy="4320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14</xdr:row>
      <xdr:rowOff>10390</xdr:rowOff>
    </xdr:from>
    <xdr:to>
      <xdr:col>4</xdr:col>
      <xdr:colOff>417367</xdr:colOff>
      <xdr:row>15</xdr:row>
      <xdr:rowOff>776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902528" y="3629890"/>
          <a:ext cx="424294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16</xdr:row>
      <xdr:rowOff>0</xdr:rowOff>
    </xdr:from>
    <xdr:to>
      <xdr:col>4</xdr:col>
      <xdr:colOff>432000</xdr:colOff>
      <xdr:row>16</xdr:row>
      <xdr:rowOff>432000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909455" y="4502727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19</xdr:row>
      <xdr:rowOff>13854</xdr:rowOff>
    </xdr:from>
    <xdr:to>
      <xdr:col>4</xdr:col>
      <xdr:colOff>437196</xdr:colOff>
      <xdr:row>20</xdr:row>
      <xdr:rowOff>4240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914651" y="584142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20</xdr:row>
      <xdr:rowOff>10390</xdr:rowOff>
    </xdr:from>
    <xdr:to>
      <xdr:col>8</xdr:col>
      <xdr:colOff>1706619</xdr:colOff>
      <xdr:row>21</xdr:row>
      <xdr:rowOff>777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444096" y="627957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18</xdr:row>
      <xdr:rowOff>17319</xdr:rowOff>
    </xdr:from>
    <xdr:to>
      <xdr:col>9</xdr:col>
      <xdr:colOff>0</xdr:colOff>
      <xdr:row>19</xdr:row>
      <xdr:rowOff>4820</xdr:rowOff>
    </xdr:to>
    <xdr:pic>
      <xdr:nvPicPr>
        <xdr:cNvPr id="31" name="Imagem 79" descr="escudo_ira_200.png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459683" y="5403274"/>
          <a:ext cx="429490" cy="429114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21</xdr:row>
      <xdr:rowOff>13855</xdr:rowOff>
    </xdr:from>
    <xdr:to>
      <xdr:col>4</xdr:col>
      <xdr:colOff>412172</xdr:colOff>
      <xdr:row>22</xdr:row>
      <xdr:rowOff>1355</xdr:rowOff>
    </xdr:to>
    <xdr:pic>
      <xdr:nvPicPr>
        <xdr:cNvPr id="32" name="Imagem 79" descr="escudo_ira_200.png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897333" y="6724650"/>
          <a:ext cx="424294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17</xdr:row>
      <xdr:rowOff>0</xdr:rowOff>
    </xdr:from>
    <xdr:to>
      <xdr:col>4</xdr:col>
      <xdr:colOff>432000</xdr:colOff>
      <xdr:row>17</xdr:row>
      <xdr:rowOff>432000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909455" y="494434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21</xdr:row>
      <xdr:rowOff>13855</xdr:rowOff>
    </xdr:from>
    <xdr:to>
      <xdr:col>8</xdr:col>
      <xdr:colOff>1710083</xdr:colOff>
      <xdr:row>22</xdr:row>
      <xdr:rowOff>4241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447560" y="6724650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19</xdr:row>
      <xdr:rowOff>19050</xdr:rowOff>
    </xdr:from>
    <xdr:to>
      <xdr:col>9</xdr:col>
      <xdr:colOff>0</xdr:colOff>
      <xdr:row>20</xdr:row>
      <xdr:rowOff>9436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452755" y="5846618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17</xdr:row>
      <xdr:rowOff>8660</xdr:rowOff>
    </xdr:from>
    <xdr:to>
      <xdr:col>8</xdr:col>
      <xdr:colOff>1704886</xdr:colOff>
      <xdr:row>18</xdr:row>
      <xdr:rowOff>393</xdr:rowOff>
    </xdr:to>
    <xdr:pic>
      <xdr:nvPicPr>
        <xdr:cNvPr id="38" name="Imagem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442363" y="495300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18</xdr:row>
      <xdr:rowOff>13855</xdr:rowOff>
    </xdr:from>
    <xdr:to>
      <xdr:col>4</xdr:col>
      <xdr:colOff>437195</xdr:colOff>
      <xdr:row>19</xdr:row>
      <xdr:rowOff>4242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914650" y="5399810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20</xdr:row>
      <xdr:rowOff>19051</xdr:rowOff>
    </xdr:from>
    <xdr:to>
      <xdr:col>4</xdr:col>
      <xdr:colOff>433731</xdr:colOff>
      <xdr:row>21</xdr:row>
      <xdr:rowOff>9438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911186" y="6288233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22</xdr:row>
      <xdr:rowOff>0</xdr:rowOff>
    </xdr:from>
    <xdr:to>
      <xdr:col>8</xdr:col>
      <xdr:colOff>1707008</xdr:colOff>
      <xdr:row>22</xdr:row>
      <xdr:rowOff>432000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442362" y="7152409"/>
          <a:ext cx="434123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24</xdr:row>
      <xdr:rowOff>5195</xdr:rowOff>
    </xdr:from>
    <xdr:to>
      <xdr:col>8</xdr:col>
      <xdr:colOff>1703544</xdr:colOff>
      <xdr:row>24</xdr:row>
      <xdr:rowOff>437195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438898" y="8040831"/>
          <a:ext cx="434123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27</xdr:row>
      <xdr:rowOff>1731</xdr:rowOff>
    </xdr:from>
    <xdr:to>
      <xdr:col>4</xdr:col>
      <xdr:colOff>444512</xdr:colOff>
      <xdr:row>27</xdr:row>
      <xdr:rowOff>433731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919844" y="9362208"/>
          <a:ext cx="434123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23</xdr:row>
      <xdr:rowOff>0</xdr:rowOff>
    </xdr:from>
    <xdr:to>
      <xdr:col>4</xdr:col>
      <xdr:colOff>432000</xdr:colOff>
      <xdr:row>23</xdr:row>
      <xdr:rowOff>432000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909455" y="7594023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25</xdr:row>
      <xdr:rowOff>5196</xdr:rowOff>
    </xdr:from>
    <xdr:to>
      <xdr:col>8</xdr:col>
      <xdr:colOff>1701424</xdr:colOff>
      <xdr:row>25</xdr:row>
      <xdr:rowOff>437196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438901" y="8482446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27</xdr:row>
      <xdr:rowOff>10392</xdr:rowOff>
    </xdr:from>
    <xdr:to>
      <xdr:col>8</xdr:col>
      <xdr:colOff>1706619</xdr:colOff>
      <xdr:row>28</xdr:row>
      <xdr:rowOff>778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444096" y="9370869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23</xdr:row>
      <xdr:rowOff>8659</xdr:rowOff>
    </xdr:from>
    <xdr:to>
      <xdr:col>8</xdr:col>
      <xdr:colOff>1713546</xdr:colOff>
      <xdr:row>24</xdr:row>
      <xdr:rowOff>392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451023" y="760268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24</xdr:row>
      <xdr:rowOff>5196</xdr:rowOff>
    </xdr:from>
    <xdr:to>
      <xdr:col>4</xdr:col>
      <xdr:colOff>428536</xdr:colOff>
      <xdr:row>24</xdr:row>
      <xdr:rowOff>437196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905991" y="804083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26</xdr:row>
      <xdr:rowOff>10391</xdr:rowOff>
    </xdr:from>
    <xdr:to>
      <xdr:col>4</xdr:col>
      <xdr:colOff>433731</xdr:colOff>
      <xdr:row>27</xdr:row>
      <xdr:rowOff>778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911186" y="892925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29</xdr:row>
      <xdr:rowOff>0</xdr:rowOff>
    </xdr:from>
    <xdr:to>
      <xdr:col>4</xdr:col>
      <xdr:colOff>432000</xdr:colOff>
      <xdr:row>29</xdr:row>
      <xdr:rowOff>432000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909455" y="1024370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31</xdr:row>
      <xdr:rowOff>5196</xdr:rowOff>
    </xdr:from>
    <xdr:to>
      <xdr:col>4</xdr:col>
      <xdr:colOff>437196</xdr:colOff>
      <xdr:row>31</xdr:row>
      <xdr:rowOff>437196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914651" y="11132128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32</xdr:row>
      <xdr:rowOff>10392</xdr:rowOff>
    </xdr:from>
    <xdr:to>
      <xdr:col>8</xdr:col>
      <xdr:colOff>1697960</xdr:colOff>
      <xdr:row>33</xdr:row>
      <xdr:rowOff>778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435437" y="11578937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29</xdr:row>
      <xdr:rowOff>17318</xdr:rowOff>
    </xdr:from>
    <xdr:to>
      <xdr:col>8</xdr:col>
      <xdr:colOff>1696227</xdr:colOff>
      <xdr:row>30</xdr:row>
      <xdr:rowOff>7705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433704" y="10261023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30</xdr:row>
      <xdr:rowOff>5196</xdr:rowOff>
    </xdr:from>
    <xdr:to>
      <xdr:col>8</xdr:col>
      <xdr:colOff>1701422</xdr:colOff>
      <xdr:row>30</xdr:row>
      <xdr:rowOff>437196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438899" y="10690514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1732</xdr:rowOff>
    </xdr:from>
    <xdr:to>
      <xdr:col>4</xdr:col>
      <xdr:colOff>442390</xdr:colOff>
      <xdr:row>33</xdr:row>
      <xdr:rowOff>433732</xdr:rowOff>
    </xdr:to>
    <xdr:pic>
      <xdr:nvPicPr>
        <xdr:cNvPr id="60" name="Imagem 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919845" y="1201189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33</xdr:row>
      <xdr:rowOff>1</xdr:rowOff>
    </xdr:from>
    <xdr:to>
      <xdr:col>8</xdr:col>
      <xdr:colOff>1695651</xdr:colOff>
      <xdr:row>33</xdr:row>
      <xdr:rowOff>429115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3128" y="12010160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28</xdr:row>
      <xdr:rowOff>5195</xdr:rowOff>
    </xdr:from>
    <xdr:to>
      <xdr:col>4</xdr:col>
      <xdr:colOff>436619</xdr:colOff>
      <xdr:row>28</xdr:row>
      <xdr:rowOff>434309</xdr:rowOff>
    </xdr:to>
    <xdr:pic>
      <xdr:nvPicPr>
        <xdr:cNvPr id="62" name="Picture 486" descr="dinamarca.png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4074" y="9807286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28</xdr:row>
      <xdr:rowOff>9236</xdr:rowOff>
    </xdr:from>
    <xdr:to>
      <xdr:col>8</xdr:col>
      <xdr:colOff>1704308</xdr:colOff>
      <xdr:row>28</xdr:row>
      <xdr:rowOff>438350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1785" y="9811327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32</xdr:row>
      <xdr:rowOff>5773</xdr:rowOff>
    </xdr:from>
    <xdr:to>
      <xdr:col>4</xdr:col>
      <xdr:colOff>436617</xdr:colOff>
      <xdr:row>32</xdr:row>
      <xdr:rowOff>434887</xdr:rowOff>
    </xdr:to>
    <xdr:pic>
      <xdr:nvPicPr>
        <xdr:cNvPr id="450" name="Picture 503" descr="tunisia.png">
          <a:extLst>
            <a:ext uri="{FF2B5EF4-FFF2-40B4-BE49-F238E27FC236}">
              <a16:creationId xmlns:a16="http://schemas.microsoft.com/office/drawing/2014/main" id="{00000000-0008-0000-0100-0000C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4072" y="11574318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35</xdr:row>
      <xdr:rowOff>17318</xdr:rowOff>
    </xdr:from>
    <xdr:to>
      <xdr:col>4</xdr:col>
      <xdr:colOff>430316</xdr:colOff>
      <xdr:row>36</xdr:row>
      <xdr:rowOff>1996</xdr:rowOff>
    </xdr:to>
    <xdr:pic>
      <xdr:nvPicPr>
        <xdr:cNvPr id="2" name="Imagem 30" descr="escudo_espanha_200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909455" y="12910704"/>
          <a:ext cx="430316" cy="426292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37</xdr:row>
      <xdr:rowOff>17318</xdr:rowOff>
    </xdr:from>
    <xdr:to>
      <xdr:col>4</xdr:col>
      <xdr:colOff>438975</xdr:colOff>
      <xdr:row>38</xdr:row>
      <xdr:rowOff>1997</xdr:rowOff>
    </xdr:to>
    <xdr:pic>
      <xdr:nvPicPr>
        <xdr:cNvPr id="7" name="Imagem 30" descr="escudo_espanha_200.png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918114" y="13793932"/>
          <a:ext cx="430316" cy="426292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36</xdr:row>
      <xdr:rowOff>8659</xdr:rowOff>
    </xdr:from>
    <xdr:to>
      <xdr:col>4</xdr:col>
      <xdr:colOff>432000</xdr:colOff>
      <xdr:row>37</xdr:row>
      <xdr:rowOff>393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909455" y="13343659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38</xdr:row>
      <xdr:rowOff>13855</xdr:rowOff>
    </xdr:from>
    <xdr:to>
      <xdr:col>4</xdr:col>
      <xdr:colOff>428536</xdr:colOff>
      <xdr:row>39</xdr:row>
      <xdr:rowOff>4241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905991" y="1423208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34</xdr:row>
      <xdr:rowOff>1732</xdr:rowOff>
    </xdr:from>
    <xdr:to>
      <xdr:col>8</xdr:col>
      <xdr:colOff>1706618</xdr:colOff>
      <xdr:row>34</xdr:row>
      <xdr:rowOff>433732</xdr:rowOff>
    </xdr:to>
    <xdr:pic>
      <xdr:nvPicPr>
        <xdr:cNvPr id="16" name="Imagem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444095" y="1245350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35</xdr:row>
      <xdr:rowOff>8659</xdr:rowOff>
    </xdr:from>
    <xdr:to>
      <xdr:col>8</xdr:col>
      <xdr:colOff>1704886</xdr:colOff>
      <xdr:row>35</xdr:row>
      <xdr:rowOff>437059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442363" y="12902045"/>
          <a:ext cx="4320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13854</xdr:rowOff>
    </xdr:from>
    <xdr:to>
      <xdr:col>8</xdr:col>
      <xdr:colOff>1705841</xdr:colOff>
      <xdr:row>37</xdr:row>
      <xdr:rowOff>640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447558" y="13348854"/>
          <a:ext cx="42776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437059</xdr:colOff>
      <xdr:row>39</xdr:row>
      <xdr:rowOff>437059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918114" y="14668500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42</xdr:row>
      <xdr:rowOff>17895</xdr:rowOff>
    </xdr:from>
    <xdr:to>
      <xdr:col>8</xdr:col>
      <xdr:colOff>1705841</xdr:colOff>
      <xdr:row>43</xdr:row>
      <xdr:rowOff>5396</xdr:rowOff>
    </xdr:to>
    <xdr:pic>
      <xdr:nvPicPr>
        <xdr:cNvPr id="37" name="Picture 478" descr="marrocos.png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51021" y="16002577"/>
          <a:ext cx="424297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45</xdr:row>
      <xdr:rowOff>8659</xdr:rowOff>
    </xdr:from>
    <xdr:to>
      <xdr:col>9</xdr:col>
      <xdr:colOff>0</xdr:colOff>
      <xdr:row>45</xdr:row>
      <xdr:rowOff>437773</xdr:rowOff>
    </xdr:to>
    <xdr:pic>
      <xdr:nvPicPr>
        <xdr:cNvPr id="41" name="Picture 478" descr="marrocos.png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59682" y="17318182"/>
          <a:ext cx="424295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42</xdr:row>
      <xdr:rowOff>8658</xdr:rowOff>
    </xdr:from>
    <xdr:to>
      <xdr:col>4</xdr:col>
      <xdr:colOff>428400</xdr:colOff>
      <xdr:row>42</xdr:row>
      <xdr:rowOff>437058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909455" y="15993340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44</xdr:row>
      <xdr:rowOff>5195</xdr:rowOff>
    </xdr:from>
    <xdr:to>
      <xdr:col>8</xdr:col>
      <xdr:colOff>1705841</xdr:colOff>
      <xdr:row>44</xdr:row>
      <xdr:rowOff>433595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447558" y="16873104"/>
          <a:ext cx="42776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41</xdr:row>
      <xdr:rowOff>10391</xdr:rowOff>
    </xdr:from>
    <xdr:to>
      <xdr:col>4</xdr:col>
      <xdr:colOff>438790</xdr:colOff>
      <xdr:row>41</xdr:row>
      <xdr:rowOff>438791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919845" y="15553459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41</xdr:row>
      <xdr:rowOff>8659</xdr:rowOff>
    </xdr:from>
    <xdr:to>
      <xdr:col>8</xdr:col>
      <xdr:colOff>1701287</xdr:colOff>
      <xdr:row>41</xdr:row>
      <xdr:rowOff>437059</xdr:rowOff>
    </xdr:to>
    <xdr:pic>
      <xdr:nvPicPr>
        <xdr:cNvPr id="452" name="Imagem 451">
          <a:extLst>
            <a:ext uri="{FF2B5EF4-FFF2-40B4-BE49-F238E27FC236}">
              <a16:creationId xmlns:a16="http://schemas.microsoft.com/office/drawing/2014/main" id="{00000000-0008-0000-0100-0000C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442364" y="15551727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45</xdr:row>
      <xdr:rowOff>5194</xdr:rowOff>
    </xdr:from>
    <xdr:to>
      <xdr:col>4</xdr:col>
      <xdr:colOff>433595</xdr:colOff>
      <xdr:row>45</xdr:row>
      <xdr:rowOff>433594</xdr:rowOff>
    </xdr:to>
    <xdr:pic>
      <xdr:nvPicPr>
        <xdr:cNvPr id="455" name="Imagem 454">
          <a:extLst>
            <a:ext uri="{FF2B5EF4-FFF2-40B4-BE49-F238E27FC236}">
              <a16:creationId xmlns:a16="http://schemas.microsoft.com/office/drawing/2014/main" id="{00000000-0008-0000-0100-0000C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914650" y="17314717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43</xdr:row>
      <xdr:rowOff>10391</xdr:rowOff>
    </xdr:from>
    <xdr:to>
      <xdr:col>8</xdr:col>
      <xdr:colOff>1703019</xdr:colOff>
      <xdr:row>43</xdr:row>
      <xdr:rowOff>438791</xdr:rowOff>
    </xdr:to>
    <xdr:pic>
      <xdr:nvPicPr>
        <xdr:cNvPr id="456" name="Imagem 455">
          <a:extLst>
            <a:ext uri="{FF2B5EF4-FFF2-40B4-BE49-F238E27FC236}">
              <a16:creationId xmlns:a16="http://schemas.microsoft.com/office/drawing/2014/main" id="{00000000-0008-0000-0100-0000C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444096" y="16436686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43</xdr:row>
      <xdr:rowOff>13279</xdr:rowOff>
    </xdr:from>
    <xdr:to>
      <xdr:col>4</xdr:col>
      <xdr:colOff>436040</xdr:colOff>
      <xdr:row>44</xdr:row>
      <xdr:rowOff>778</xdr:rowOff>
    </xdr:to>
    <xdr:pic>
      <xdr:nvPicPr>
        <xdr:cNvPr id="458" name="Imagem 17" descr="escudo_croacia_200.png">
          <a:extLst>
            <a:ext uri="{FF2B5EF4-FFF2-40B4-BE49-F238E27FC236}">
              <a16:creationId xmlns:a16="http://schemas.microsoft.com/office/drawing/2014/main" id="{00000000-0008-0000-01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913495" y="16439574"/>
          <a:ext cx="432000" cy="429113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44</xdr:row>
      <xdr:rowOff>9815</xdr:rowOff>
    </xdr:from>
    <xdr:to>
      <xdr:col>4</xdr:col>
      <xdr:colOff>432577</xdr:colOff>
      <xdr:row>44</xdr:row>
      <xdr:rowOff>438928</xdr:rowOff>
    </xdr:to>
    <xdr:pic>
      <xdr:nvPicPr>
        <xdr:cNvPr id="460" name="Imagem 17" descr="escudo_croacia_200.png">
          <a:extLst>
            <a:ext uri="{FF2B5EF4-FFF2-40B4-BE49-F238E27FC236}">
              <a16:creationId xmlns:a16="http://schemas.microsoft.com/office/drawing/2014/main" id="{00000000-0008-0000-0100-0000C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910032" y="16877724"/>
          <a:ext cx="432000" cy="4291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49</xdr:row>
      <xdr:rowOff>11706</xdr:rowOff>
    </xdr:from>
    <xdr:to>
      <xdr:col>8</xdr:col>
      <xdr:colOff>1701975</xdr:colOff>
      <xdr:row>50</xdr:row>
      <xdr:rowOff>553</xdr:rowOff>
    </xdr:to>
    <xdr:pic>
      <xdr:nvPicPr>
        <xdr:cNvPr id="461" name="Imagem 65" descr="escudo_suica_200.png">
          <a:extLst>
            <a:ext uri="{FF2B5EF4-FFF2-40B4-BE49-F238E27FC236}">
              <a16:creationId xmlns:a16="http://schemas.microsoft.com/office/drawing/2014/main" id="{00000000-0008-0000-0100-0000C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439452" y="19087683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51</xdr:row>
      <xdr:rowOff>8659</xdr:rowOff>
    </xdr:from>
    <xdr:to>
      <xdr:col>8</xdr:col>
      <xdr:colOff>1704887</xdr:colOff>
      <xdr:row>51</xdr:row>
      <xdr:rowOff>437773</xdr:rowOff>
    </xdr:to>
    <xdr:pic>
      <xdr:nvPicPr>
        <xdr:cNvPr id="462" name="Imagem 65" descr="escudo_suica_200.png">
          <a:extLst>
            <a:ext uri="{FF2B5EF4-FFF2-40B4-BE49-F238E27FC236}">
              <a16:creationId xmlns:a16="http://schemas.microsoft.com/office/drawing/2014/main" id="{00000000-0008-0000-0100-0000C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442364" y="19967864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8660</xdr:rowOff>
    </xdr:from>
    <xdr:to>
      <xdr:col>8</xdr:col>
      <xdr:colOff>1709945</xdr:colOff>
      <xdr:row>46</xdr:row>
      <xdr:rowOff>437060</xdr:rowOff>
    </xdr:to>
    <xdr:pic>
      <xdr:nvPicPr>
        <xdr:cNvPr id="465" name="Imagem 464">
          <a:extLst>
            <a:ext uri="{FF2B5EF4-FFF2-40B4-BE49-F238E27FC236}">
              <a16:creationId xmlns:a16="http://schemas.microsoft.com/office/drawing/2014/main" id="{00000000-0008-0000-0100-0000D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451022" y="17759796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48</xdr:row>
      <xdr:rowOff>5196</xdr:rowOff>
    </xdr:from>
    <xdr:to>
      <xdr:col>4</xdr:col>
      <xdr:colOff>433594</xdr:colOff>
      <xdr:row>48</xdr:row>
      <xdr:rowOff>433596</xdr:rowOff>
    </xdr:to>
    <xdr:pic>
      <xdr:nvPicPr>
        <xdr:cNvPr id="466" name="Imagem 465">
          <a:extLst>
            <a:ext uri="{FF2B5EF4-FFF2-40B4-BE49-F238E27FC236}">
              <a16:creationId xmlns:a16="http://schemas.microsoft.com/office/drawing/2014/main" id="{00000000-0008-0000-0100-0000D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914649" y="18639560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50</xdr:row>
      <xdr:rowOff>10392</xdr:rowOff>
    </xdr:from>
    <xdr:to>
      <xdr:col>4</xdr:col>
      <xdr:colOff>430130</xdr:colOff>
      <xdr:row>50</xdr:row>
      <xdr:rowOff>438792</xdr:rowOff>
    </xdr:to>
    <xdr:pic>
      <xdr:nvPicPr>
        <xdr:cNvPr id="467" name="Imagem 466">
          <a:extLst>
            <a:ext uri="{FF2B5EF4-FFF2-40B4-BE49-F238E27FC236}">
              <a16:creationId xmlns:a16="http://schemas.microsoft.com/office/drawing/2014/main" id="{00000000-0008-0000-0100-0000D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911185" y="19527983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55</xdr:row>
      <xdr:rowOff>13279</xdr:rowOff>
    </xdr:from>
    <xdr:to>
      <xdr:col>4</xdr:col>
      <xdr:colOff>440658</xdr:colOff>
      <xdr:row>56</xdr:row>
      <xdr:rowOff>779</xdr:rowOff>
    </xdr:to>
    <xdr:pic>
      <xdr:nvPicPr>
        <xdr:cNvPr id="469" name="Imagem 90" descr="escudo_portugal_200.png">
          <a:extLst>
            <a:ext uri="{FF2B5EF4-FFF2-40B4-BE49-F238E27FC236}">
              <a16:creationId xmlns:a16="http://schemas.microsoft.com/office/drawing/2014/main" id="{00000000-0008-0000-0100-0000D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918113" y="21738938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56</xdr:row>
      <xdr:rowOff>8659</xdr:rowOff>
    </xdr:from>
    <xdr:to>
      <xdr:col>8</xdr:col>
      <xdr:colOff>1704887</xdr:colOff>
      <xdr:row>56</xdr:row>
      <xdr:rowOff>437773</xdr:rowOff>
    </xdr:to>
    <xdr:pic>
      <xdr:nvPicPr>
        <xdr:cNvPr id="470" name="Imagem 90" descr="escudo_portugal_200.png">
          <a:extLst>
            <a:ext uri="{FF2B5EF4-FFF2-40B4-BE49-F238E27FC236}">
              <a16:creationId xmlns:a16="http://schemas.microsoft.com/office/drawing/2014/main" id="{00000000-0008-0000-0100-0000D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442364" y="22175932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47</xdr:row>
      <xdr:rowOff>8659</xdr:rowOff>
    </xdr:from>
    <xdr:to>
      <xdr:col>4</xdr:col>
      <xdr:colOff>437059</xdr:colOff>
      <xdr:row>47</xdr:row>
      <xdr:rowOff>437059</xdr:rowOff>
    </xdr:to>
    <xdr:pic>
      <xdr:nvPicPr>
        <xdr:cNvPr id="473" name="Imagem 472">
          <a:extLst>
            <a:ext uri="{FF2B5EF4-FFF2-40B4-BE49-F238E27FC236}">
              <a16:creationId xmlns:a16="http://schemas.microsoft.com/office/drawing/2014/main" id="{00000000-0008-0000-0100-0000D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918114" y="18201409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49</xdr:row>
      <xdr:rowOff>5196</xdr:rowOff>
    </xdr:from>
    <xdr:to>
      <xdr:col>4</xdr:col>
      <xdr:colOff>433595</xdr:colOff>
      <xdr:row>49</xdr:row>
      <xdr:rowOff>433596</xdr:rowOff>
    </xdr:to>
    <xdr:pic>
      <xdr:nvPicPr>
        <xdr:cNvPr id="474" name="Imagem 473">
          <a:extLst>
            <a:ext uri="{FF2B5EF4-FFF2-40B4-BE49-F238E27FC236}">
              <a16:creationId xmlns:a16="http://schemas.microsoft.com/office/drawing/2014/main" id="{00000000-0008-0000-0100-0000D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914650" y="19081173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50</xdr:row>
      <xdr:rowOff>10391</xdr:rowOff>
    </xdr:from>
    <xdr:to>
      <xdr:col>8</xdr:col>
      <xdr:colOff>1703018</xdr:colOff>
      <xdr:row>50</xdr:row>
      <xdr:rowOff>438791</xdr:rowOff>
    </xdr:to>
    <xdr:pic>
      <xdr:nvPicPr>
        <xdr:cNvPr id="475" name="Imagem 474">
          <a:extLst>
            <a:ext uri="{FF2B5EF4-FFF2-40B4-BE49-F238E27FC236}">
              <a16:creationId xmlns:a16="http://schemas.microsoft.com/office/drawing/2014/main" id="{00000000-0008-0000-0100-0000D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444095" y="19527982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47</xdr:row>
      <xdr:rowOff>8660</xdr:rowOff>
    </xdr:from>
    <xdr:to>
      <xdr:col>9</xdr:col>
      <xdr:colOff>0</xdr:colOff>
      <xdr:row>47</xdr:row>
      <xdr:rowOff>437060</xdr:rowOff>
    </xdr:to>
    <xdr:pic>
      <xdr:nvPicPr>
        <xdr:cNvPr id="477" name="Imagem 476">
          <a:extLst>
            <a:ext uri="{FF2B5EF4-FFF2-40B4-BE49-F238E27FC236}">
              <a16:creationId xmlns:a16="http://schemas.microsoft.com/office/drawing/2014/main" id="{00000000-0008-0000-0100-0000D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459682" y="18201410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48</xdr:row>
      <xdr:rowOff>5196</xdr:rowOff>
    </xdr:from>
    <xdr:to>
      <xdr:col>8</xdr:col>
      <xdr:colOff>1702378</xdr:colOff>
      <xdr:row>48</xdr:row>
      <xdr:rowOff>433596</xdr:rowOff>
    </xdr:to>
    <xdr:pic>
      <xdr:nvPicPr>
        <xdr:cNvPr id="478" name="Imagem 477">
          <a:extLst>
            <a:ext uri="{FF2B5EF4-FFF2-40B4-BE49-F238E27FC236}">
              <a16:creationId xmlns:a16="http://schemas.microsoft.com/office/drawing/2014/main" id="{00000000-0008-0000-0100-0000D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447560" y="18639560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51</xdr:row>
      <xdr:rowOff>8659</xdr:rowOff>
    </xdr:from>
    <xdr:to>
      <xdr:col>4</xdr:col>
      <xdr:colOff>424295</xdr:colOff>
      <xdr:row>51</xdr:row>
      <xdr:rowOff>437059</xdr:rowOff>
    </xdr:to>
    <xdr:pic>
      <xdr:nvPicPr>
        <xdr:cNvPr id="480" name="Imagem 479">
          <a:extLst>
            <a:ext uri="{FF2B5EF4-FFF2-40B4-BE49-F238E27FC236}">
              <a16:creationId xmlns:a16="http://schemas.microsoft.com/office/drawing/2014/main" id="{00000000-0008-0000-0100-0000E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909455" y="19967864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54</xdr:row>
      <xdr:rowOff>8659</xdr:rowOff>
    </xdr:from>
    <xdr:to>
      <xdr:col>4</xdr:col>
      <xdr:colOff>428400</xdr:colOff>
      <xdr:row>54</xdr:row>
      <xdr:rowOff>437059</xdr:rowOff>
    </xdr:to>
    <xdr:pic>
      <xdr:nvPicPr>
        <xdr:cNvPr id="482" name="Imagem 481">
          <a:extLst>
            <a:ext uri="{FF2B5EF4-FFF2-40B4-BE49-F238E27FC236}">
              <a16:creationId xmlns:a16="http://schemas.microsoft.com/office/drawing/2014/main" id="{00000000-0008-0000-0100-0000E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909455" y="2129270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52</xdr:row>
      <xdr:rowOff>5195</xdr:rowOff>
    </xdr:from>
    <xdr:to>
      <xdr:col>8</xdr:col>
      <xdr:colOff>1706482</xdr:colOff>
      <xdr:row>52</xdr:row>
      <xdr:rowOff>433595</xdr:rowOff>
    </xdr:to>
    <xdr:pic>
      <xdr:nvPicPr>
        <xdr:cNvPr id="483" name="Imagem 482">
          <a:extLst>
            <a:ext uri="{FF2B5EF4-FFF2-40B4-BE49-F238E27FC236}">
              <a16:creationId xmlns:a16="http://schemas.microsoft.com/office/drawing/2014/main" id="{00000000-0008-0000-01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447559" y="20406013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56</xdr:row>
      <xdr:rowOff>8659</xdr:rowOff>
    </xdr:from>
    <xdr:to>
      <xdr:col>4</xdr:col>
      <xdr:colOff>428400</xdr:colOff>
      <xdr:row>56</xdr:row>
      <xdr:rowOff>437059</xdr:rowOff>
    </xdr:to>
    <xdr:pic>
      <xdr:nvPicPr>
        <xdr:cNvPr id="484" name="Imagem 483">
          <a:extLst>
            <a:ext uri="{FF2B5EF4-FFF2-40B4-BE49-F238E27FC236}">
              <a16:creationId xmlns:a16="http://schemas.microsoft.com/office/drawing/2014/main" id="{00000000-0008-0000-0100-0000E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909455" y="22175932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53</xdr:row>
      <xdr:rowOff>8659</xdr:rowOff>
    </xdr:from>
    <xdr:to>
      <xdr:col>8</xdr:col>
      <xdr:colOff>1705841</xdr:colOff>
      <xdr:row>53</xdr:row>
      <xdr:rowOff>437059</xdr:rowOff>
    </xdr:to>
    <xdr:pic>
      <xdr:nvPicPr>
        <xdr:cNvPr id="486" name="Imagem 485">
          <a:extLst>
            <a:ext uri="{FF2B5EF4-FFF2-40B4-BE49-F238E27FC236}">
              <a16:creationId xmlns:a16="http://schemas.microsoft.com/office/drawing/2014/main" id="{00000000-0008-0000-0100-0000E601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451023" y="20851091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54</xdr:row>
      <xdr:rowOff>8659</xdr:rowOff>
    </xdr:from>
    <xdr:to>
      <xdr:col>8</xdr:col>
      <xdr:colOff>1705840</xdr:colOff>
      <xdr:row>54</xdr:row>
      <xdr:rowOff>437059</xdr:rowOff>
    </xdr:to>
    <xdr:pic>
      <xdr:nvPicPr>
        <xdr:cNvPr id="488" name="Imagem 487">
          <a:extLst>
            <a:ext uri="{FF2B5EF4-FFF2-40B4-BE49-F238E27FC236}">
              <a16:creationId xmlns:a16="http://schemas.microsoft.com/office/drawing/2014/main" id="{00000000-0008-0000-0100-0000E801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451022" y="21292704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57</xdr:row>
      <xdr:rowOff>8659</xdr:rowOff>
    </xdr:from>
    <xdr:to>
      <xdr:col>4</xdr:col>
      <xdr:colOff>424295</xdr:colOff>
      <xdr:row>57</xdr:row>
      <xdr:rowOff>437059</xdr:rowOff>
    </xdr:to>
    <xdr:pic>
      <xdr:nvPicPr>
        <xdr:cNvPr id="489" name="Imagem 488">
          <a:extLst>
            <a:ext uri="{FF2B5EF4-FFF2-40B4-BE49-F238E27FC236}">
              <a16:creationId xmlns:a16="http://schemas.microsoft.com/office/drawing/2014/main" id="{00000000-0008-0000-0100-0000E901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909455" y="22617545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3</xdr:row>
      <xdr:rowOff>103910</xdr:rowOff>
    </xdr:from>
    <xdr:to>
      <xdr:col>4</xdr:col>
      <xdr:colOff>536816</xdr:colOff>
      <xdr:row>5</xdr:row>
      <xdr:rowOff>86544</xdr:rowOff>
    </xdr:to>
    <xdr:pic>
      <xdr:nvPicPr>
        <xdr:cNvPr id="491" name="Imagem 49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id="{00000000-0008-0000-01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3065319" y="588819"/>
          <a:ext cx="380952" cy="380952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1</xdr:row>
      <xdr:rowOff>28771</xdr:rowOff>
    </xdr:from>
    <xdr:to>
      <xdr:col>4</xdr:col>
      <xdr:colOff>539611</xdr:colOff>
      <xdr:row>3</xdr:row>
      <xdr:rowOff>11405</xdr:rowOff>
    </xdr:to>
    <xdr:pic>
      <xdr:nvPicPr>
        <xdr:cNvPr id="494" name="Imagem 493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id="{00000000-0008-0000-01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3068114" y="115362"/>
          <a:ext cx="380952" cy="380952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6</xdr:row>
      <xdr:rowOff>22909</xdr:rowOff>
    </xdr:from>
    <xdr:to>
      <xdr:col>4</xdr:col>
      <xdr:colOff>542407</xdr:colOff>
      <xdr:row>7</xdr:row>
      <xdr:rowOff>76557</xdr:rowOff>
    </xdr:to>
    <xdr:pic>
      <xdr:nvPicPr>
        <xdr:cNvPr id="497" name="Imagem 496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id="{00000000-0008-0000-0100-0000F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3070910" y="1105295"/>
          <a:ext cx="380952" cy="3047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9525</xdr:colOff>
      <xdr:row>50</xdr:row>
      <xdr:rowOff>0</xdr:rowOff>
    </xdr:from>
    <xdr:to>
      <xdr:col>11</xdr:col>
      <xdr:colOff>9525</xdr:colOff>
      <xdr:row>1048576</xdr:row>
      <xdr:rowOff>177034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905625" y="3060382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1271732</xdr:colOff>
      <xdr:row>32</xdr:row>
      <xdr:rowOff>8083</xdr:rowOff>
    </xdr:from>
    <xdr:to>
      <xdr:col>9</xdr:col>
      <xdr:colOff>1271732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453332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5</xdr:col>
      <xdr:colOff>16164</xdr:colOff>
      <xdr:row>17</xdr:row>
      <xdr:rowOff>12122</xdr:rowOff>
    </xdr:from>
    <xdr:to>
      <xdr:col>5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940339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1094510</xdr:colOff>
      <xdr:row>14</xdr:row>
      <xdr:rowOff>20782</xdr:rowOff>
    </xdr:from>
    <xdr:to>
      <xdr:col>4</xdr:col>
      <xdr:colOff>1094510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837585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8</xdr:row>
      <xdr:rowOff>12124</xdr:rowOff>
    </xdr:from>
    <xdr:to>
      <xdr:col>9</xdr:col>
      <xdr:colOff>1285010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466610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29</xdr:row>
      <xdr:rowOff>12700</xdr:rowOff>
    </xdr:from>
    <xdr:to>
      <xdr:col>9</xdr:col>
      <xdr:colOff>1285010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466610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3463</xdr:colOff>
      <xdr:row>26</xdr:row>
      <xdr:rowOff>17319</xdr:rowOff>
    </xdr:from>
    <xdr:to>
      <xdr:col>5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927638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12122</xdr:colOff>
      <xdr:row>45</xdr:row>
      <xdr:rowOff>16742</xdr:rowOff>
    </xdr:from>
    <xdr:to>
      <xdr:col>5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936297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3461</xdr:colOff>
      <xdr:row>32</xdr:row>
      <xdr:rowOff>12700</xdr:rowOff>
    </xdr:from>
    <xdr:to>
      <xdr:col>5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7636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1267114</xdr:colOff>
      <xdr:row>23</xdr:row>
      <xdr:rowOff>3464</xdr:rowOff>
    </xdr:from>
    <xdr:to>
      <xdr:col>9</xdr:col>
      <xdr:colOff>1267114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8714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11544</xdr:colOff>
      <xdr:row>22</xdr:row>
      <xdr:rowOff>12700</xdr:rowOff>
    </xdr:from>
    <xdr:to>
      <xdr:col>5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35719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1275525</xdr:colOff>
      <xdr:row>30</xdr:row>
      <xdr:rowOff>11417</xdr:rowOff>
    </xdr:from>
    <xdr:to>
      <xdr:col>9</xdr:col>
      <xdr:colOff>1275525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457125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9</xdr:col>
      <xdr:colOff>1266341</xdr:colOff>
      <xdr:row>18</xdr:row>
      <xdr:rowOff>9988</xdr:rowOff>
    </xdr:from>
    <xdr:to>
      <xdr:col>9</xdr:col>
      <xdr:colOff>1266341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447941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5</xdr:col>
      <xdr:colOff>9211</xdr:colOff>
      <xdr:row>38</xdr:row>
      <xdr:rowOff>6511</xdr:rowOff>
    </xdr:from>
    <xdr:to>
      <xdr:col>5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933386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1272957</xdr:colOff>
      <xdr:row>31</xdr:row>
      <xdr:rowOff>16935</xdr:rowOff>
    </xdr:from>
    <xdr:to>
      <xdr:col>9</xdr:col>
      <xdr:colOff>1272957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454557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5</xdr:col>
      <xdr:colOff>858124</xdr:colOff>
      <xdr:row>0</xdr:row>
      <xdr:rowOff>0</xdr:rowOff>
    </xdr:from>
    <xdr:to>
      <xdr:col>5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782299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3</xdr:col>
      <xdr:colOff>589597</xdr:colOff>
      <xdr:row>0</xdr:row>
      <xdr:rowOff>0</xdr:rowOff>
    </xdr:from>
    <xdr:to>
      <xdr:col>3</xdr:col>
      <xdr:colOff>351472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742122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5</xdr:col>
      <xdr:colOff>21405</xdr:colOff>
      <xdr:row>1</xdr:row>
      <xdr:rowOff>194582</xdr:rowOff>
    </xdr:from>
    <xdr:to>
      <xdr:col>5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945580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5</xdr:col>
      <xdr:colOff>23975</xdr:colOff>
      <xdr:row>4</xdr:row>
      <xdr:rowOff>13267</xdr:rowOff>
    </xdr:from>
    <xdr:to>
      <xdr:col>5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948150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9</xdr:col>
      <xdr:colOff>1257302</xdr:colOff>
      <xdr:row>6</xdr:row>
      <xdr:rowOff>5134</xdr:rowOff>
    </xdr:from>
    <xdr:to>
      <xdr:col>9</xdr:col>
      <xdr:colOff>1257302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438902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44</xdr:row>
      <xdr:rowOff>10702</xdr:rowOff>
    </xdr:from>
    <xdr:to>
      <xdr:col>5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924175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1265434</xdr:colOff>
      <xdr:row>49</xdr:row>
      <xdr:rowOff>2567</xdr:rowOff>
    </xdr:from>
    <xdr:to>
      <xdr:col>9</xdr:col>
      <xdr:colOff>1265434</xdr:colOff>
      <xdr:row>1048576</xdr:row>
      <xdr:rowOff>177392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447034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9</xdr:col>
      <xdr:colOff>1268002</xdr:colOff>
      <xdr:row>47</xdr:row>
      <xdr:rowOff>15839</xdr:rowOff>
    </xdr:from>
    <xdr:to>
      <xdr:col>9</xdr:col>
      <xdr:colOff>1268002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449602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1376016</xdr:colOff>
      <xdr:row>2</xdr:row>
      <xdr:rowOff>4087</xdr:rowOff>
    </xdr:from>
    <xdr:to>
      <xdr:col>9</xdr:col>
      <xdr:colOff>1376016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557616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9</xdr:col>
      <xdr:colOff>1346576</xdr:colOff>
      <xdr:row>5</xdr:row>
      <xdr:rowOff>9282</xdr:rowOff>
    </xdr:from>
    <xdr:to>
      <xdr:col>9</xdr:col>
      <xdr:colOff>1346576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528176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5</xdr:col>
      <xdr:colOff>44248</xdr:colOff>
      <xdr:row>7</xdr:row>
      <xdr:rowOff>5818</xdr:rowOff>
    </xdr:from>
    <xdr:to>
      <xdr:col>5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968423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</xdr:row>
      <xdr:rowOff>8659</xdr:rowOff>
    </xdr:from>
    <xdr:to>
      <xdr:col>5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932834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</xdr:row>
      <xdr:rowOff>13854</xdr:rowOff>
    </xdr:from>
    <xdr:to>
      <xdr:col>9</xdr:col>
      <xdr:colOff>1278082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459682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1265959</xdr:colOff>
      <xdr:row>7</xdr:row>
      <xdr:rowOff>1731</xdr:rowOff>
    </xdr:from>
    <xdr:to>
      <xdr:col>9</xdr:col>
      <xdr:colOff>1265959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447559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3</xdr:row>
      <xdr:rowOff>8658</xdr:rowOff>
    </xdr:from>
    <xdr:to>
      <xdr:col>9</xdr:col>
      <xdr:colOff>1290206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471806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1096242</xdr:colOff>
      <xdr:row>5</xdr:row>
      <xdr:rowOff>13854</xdr:rowOff>
    </xdr:from>
    <xdr:to>
      <xdr:col>4</xdr:col>
      <xdr:colOff>1096242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839317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1092778</xdr:colOff>
      <xdr:row>6</xdr:row>
      <xdr:rowOff>10390</xdr:rowOff>
    </xdr:from>
    <xdr:to>
      <xdr:col>4</xdr:col>
      <xdr:colOff>1092778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835853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8</xdr:row>
      <xdr:rowOff>0</xdr:rowOff>
    </xdr:from>
    <xdr:to>
      <xdr:col>5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00000000-0008-0000-03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924175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11</xdr:row>
      <xdr:rowOff>13854</xdr:rowOff>
    </xdr:from>
    <xdr:to>
      <xdr:col>5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929371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12</xdr:row>
      <xdr:rowOff>10390</xdr:rowOff>
    </xdr:from>
    <xdr:to>
      <xdr:col>9</xdr:col>
      <xdr:colOff>1274619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00000000-0008-0000-03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456219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10</xdr:row>
      <xdr:rowOff>17319</xdr:rowOff>
    </xdr:from>
    <xdr:to>
      <xdr:col>9</xdr:col>
      <xdr:colOff>1290206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471806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1087583</xdr:colOff>
      <xdr:row>13</xdr:row>
      <xdr:rowOff>13855</xdr:rowOff>
    </xdr:from>
    <xdr:to>
      <xdr:col>4</xdr:col>
      <xdr:colOff>1087583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id="{00000000-0008-0000-03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830658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9</xdr:row>
      <xdr:rowOff>0</xdr:rowOff>
    </xdr:from>
    <xdr:to>
      <xdr:col>5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924175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13</xdr:row>
      <xdr:rowOff>13855</xdr:rowOff>
    </xdr:from>
    <xdr:to>
      <xdr:col>9</xdr:col>
      <xdr:colOff>1278083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459683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1283278</xdr:colOff>
      <xdr:row>11</xdr:row>
      <xdr:rowOff>19050</xdr:rowOff>
    </xdr:from>
    <xdr:to>
      <xdr:col>9</xdr:col>
      <xdr:colOff>1283278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464878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9</xdr:row>
      <xdr:rowOff>8660</xdr:rowOff>
    </xdr:from>
    <xdr:to>
      <xdr:col>9</xdr:col>
      <xdr:colOff>1272886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454486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10</xdr:row>
      <xdr:rowOff>13855</xdr:rowOff>
    </xdr:from>
    <xdr:to>
      <xdr:col>5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00000000-0008-0000-03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929370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12</xdr:row>
      <xdr:rowOff>19051</xdr:rowOff>
    </xdr:from>
    <xdr:to>
      <xdr:col>5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id="{00000000-0008-0000-03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925906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1272885</xdr:colOff>
      <xdr:row>14</xdr:row>
      <xdr:rowOff>0</xdr:rowOff>
    </xdr:from>
    <xdr:to>
      <xdr:col>9</xdr:col>
      <xdr:colOff>1272885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454485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1269421</xdr:colOff>
      <xdr:row>16</xdr:row>
      <xdr:rowOff>5195</xdr:rowOff>
    </xdr:from>
    <xdr:to>
      <xdr:col>9</xdr:col>
      <xdr:colOff>1269421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451021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10389</xdr:colOff>
      <xdr:row>19</xdr:row>
      <xdr:rowOff>1731</xdr:rowOff>
    </xdr:from>
    <xdr:to>
      <xdr:col>5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id="{00000000-0008-0000-03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934564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15</xdr:row>
      <xdr:rowOff>0</xdr:rowOff>
    </xdr:from>
    <xdr:to>
      <xdr:col>5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924175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1269424</xdr:colOff>
      <xdr:row>17</xdr:row>
      <xdr:rowOff>5196</xdr:rowOff>
    </xdr:from>
    <xdr:to>
      <xdr:col>9</xdr:col>
      <xdr:colOff>1269424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id="{00000000-0008-0000-03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451024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19</xdr:row>
      <xdr:rowOff>10392</xdr:rowOff>
    </xdr:from>
    <xdr:to>
      <xdr:col>9</xdr:col>
      <xdr:colOff>1274619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456219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15</xdr:row>
      <xdr:rowOff>8659</xdr:rowOff>
    </xdr:from>
    <xdr:to>
      <xdr:col>9</xdr:col>
      <xdr:colOff>1281546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03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463146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16</xdr:row>
      <xdr:rowOff>5196</xdr:rowOff>
    </xdr:from>
    <xdr:to>
      <xdr:col>4</xdr:col>
      <xdr:colOff>1096241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00000000-0008-0000-03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839316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18</xdr:row>
      <xdr:rowOff>10391</xdr:rowOff>
    </xdr:from>
    <xdr:to>
      <xdr:col>5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id="{00000000-0008-0000-03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925906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21</xdr:row>
      <xdr:rowOff>0</xdr:rowOff>
    </xdr:from>
    <xdr:to>
      <xdr:col>5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0000000-0008-0000-03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924175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23</xdr:row>
      <xdr:rowOff>5196</xdr:rowOff>
    </xdr:from>
    <xdr:to>
      <xdr:col>5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03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929371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1265960</xdr:colOff>
      <xdr:row>24</xdr:row>
      <xdr:rowOff>10392</xdr:rowOff>
    </xdr:from>
    <xdr:to>
      <xdr:col>9</xdr:col>
      <xdr:colOff>1265960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00000000-0008-0000-03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447560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1264227</xdr:colOff>
      <xdr:row>21</xdr:row>
      <xdr:rowOff>17318</xdr:rowOff>
    </xdr:from>
    <xdr:to>
      <xdr:col>9</xdr:col>
      <xdr:colOff>1264227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id="{00000000-0008-0000-03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445827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1269422</xdr:colOff>
      <xdr:row>22</xdr:row>
      <xdr:rowOff>5196</xdr:rowOff>
    </xdr:from>
    <xdr:to>
      <xdr:col>9</xdr:col>
      <xdr:colOff>1269422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03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451022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25</xdr:row>
      <xdr:rowOff>1732</xdr:rowOff>
    </xdr:from>
    <xdr:to>
      <xdr:col>5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00000000-0008-0000-03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934565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1263651</xdr:colOff>
      <xdr:row>25</xdr:row>
      <xdr:rowOff>1</xdr:rowOff>
    </xdr:from>
    <xdr:to>
      <xdr:col>9</xdr:col>
      <xdr:colOff>1263651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5251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4619</xdr:colOff>
      <xdr:row>20</xdr:row>
      <xdr:rowOff>5195</xdr:rowOff>
    </xdr:from>
    <xdr:to>
      <xdr:col>5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8794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1272308</xdr:colOff>
      <xdr:row>20</xdr:row>
      <xdr:rowOff>9236</xdr:rowOff>
    </xdr:from>
    <xdr:to>
      <xdr:col>9</xdr:col>
      <xdr:colOff>1272308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53908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4617</xdr:colOff>
      <xdr:row>24</xdr:row>
      <xdr:rowOff>5773</xdr:rowOff>
    </xdr:from>
    <xdr:to>
      <xdr:col>5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8792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27</xdr:row>
      <xdr:rowOff>17318</xdr:rowOff>
    </xdr:from>
    <xdr:to>
      <xdr:col>5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924175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29</xdr:row>
      <xdr:rowOff>17318</xdr:rowOff>
    </xdr:from>
    <xdr:to>
      <xdr:col>5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id="{00000000-0008-0000-03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932834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28</xdr:row>
      <xdr:rowOff>8659</xdr:rowOff>
    </xdr:from>
    <xdr:to>
      <xdr:col>5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924175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30</xdr:row>
      <xdr:rowOff>13855</xdr:rowOff>
    </xdr:from>
    <xdr:to>
      <xdr:col>4</xdr:col>
      <xdr:colOff>1096241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id="{00000000-0008-0000-03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839316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26</xdr:row>
      <xdr:rowOff>1732</xdr:rowOff>
    </xdr:from>
    <xdr:to>
      <xdr:col>9</xdr:col>
      <xdr:colOff>1274618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id="{00000000-0008-0000-03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456218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27</xdr:row>
      <xdr:rowOff>8659</xdr:rowOff>
    </xdr:from>
    <xdr:to>
      <xdr:col>9</xdr:col>
      <xdr:colOff>1272886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id="{00000000-0008-0000-03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454486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28</xdr:row>
      <xdr:rowOff>13854</xdr:rowOff>
    </xdr:from>
    <xdr:to>
      <xdr:col>9</xdr:col>
      <xdr:colOff>1278081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459681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31</xdr:row>
      <xdr:rowOff>8659</xdr:rowOff>
    </xdr:from>
    <xdr:to>
      <xdr:col>5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id="{00000000-0008-0000-03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932834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1281544</xdr:colOff>
      <xdr:row>34</xdr:row>
      <xdr:rowOff>17895</xdr:rowOff>
    </xdr:from>
    <xdr:to>
      <xdr:col>9</xdr:col>
      <xdr:colOff>1281544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63144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37</xdr:row>
      <xdr:rowOff>8659</xdr:rowOff>
    </xdr:from>
    <xdr:to>
      <xdr:col>9</xdr:col>
      <xdr:colOff>1290205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id="{00000000-0008-0000-03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71805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34</xdr:row>
      <xdr:rowOff>8658</xdr:rowOff>
    </xdr:from>
    <xdr:to>
      <xdr:col>5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id="{00000000-0008-0000-03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924175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36</xdr:row>
      <xdr:rowOff>5195</xdr:rowOff>
    </xdr:from>
    <xdr:to>
      <xdr:col>9</xdr:col>
      <xdr:colOff>1278081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id="{00000000-0008-0000-03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459681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33</xdr:row>
      <xdr:rowOff>10391</xdr:rowOff>
    </xdr:from>
    <xdr:to>
      <xdr:col>5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id="{00000000-0008-0000-03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934565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33</xdr:row>
      <xdr:rowOff>8659</xdr:rowOff>
    </xdr:from>
    <xdr:to>
      <xdr:col>9</xdr:col>
      <xdr:colOff>1272887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454487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37</xdr:row>
      <xdr:rowOff>5194</xdr:rowOff>
    </xdr:from>
    <xdr:to>
      <xdr:col>5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id="{00000000-0008-0000-03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929370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35</xdr:row>
      <xdr:rowOff>10391</xdr:rowOff>
    </xdr:from>
    <xdr:to>
      <xdr:col>9</xdr:col>
      <xdr:colOff>1274619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id="{00000000-0008-0000-03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456219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4040</xdr:colOff>
      <xdr:row>35</xdr:row>
      <xdr:rowOff>13279</xdr:rowOff>
    </xdr:from>
    <xdr:to>
      <xdr:col>5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id="{00000000-0008-0000-03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928215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5</xdr:col>
      <xdr:colOff>577</xdr:colOff>
      <xdr:row>36</xdr:row>
      <xdr:rowOff>9815</xdr:rowOff>
    </xdr:from>
    <xdr:to>
      <xdr:col>5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id="{00000000-0008-0000-03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924752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9</xdr:col>
      <xdr:colOff>1269975</xdr:colOff>
      <xdr:row>41</xdr:row>
      <xdr:rowOff>11706</xdr:rowOff>
    </xdr:from>
    <xdr:to>
      <xdr:col>9</xdr:col>
      <xdr:colOff>1269975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id="{00000000-0008-0000-03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451575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43</xdr:row>
      <xdr:rowOff>8659</xdr:rowOff>
    </xdr:from>
    <xdr:to>
      <xdr:col>9</xdr:col>
      <xdr:colOff>1272887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454487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38</xdr:row>
      <xdr:rowOff>8660</xdr:rowOff>
    </xdr:from>
    <xdr:to>
      <xdr:col>9</xdr:col>
      <xdr:colOff>1281545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id="{00000000-0008-0000-03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463145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5194</xdr:colOff>
      <xdr:row>40</xdr:row>
      <xdr:rowOff>5196</xdr:rowOff>
    </xdr:from>
    <xdr:to>
      <xdr:col>5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id="{00000000-0008-0000-03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929369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1730</xdr:colOff>
      <xdr:row>42</xdr:row>
      <xdr:rowOff>10392</xdr:rowOff>
    </xdr:from>
    <xdr:to>
      <xdr:col>5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id="{00000000-0008-0000-03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925905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8658</xdr:colOff>
      <xdr:row>47</xdr:row>
      <xdr:rowOff>13279</xdr:rowOff>
    </xdr:from>
    <xdr:to>
      <xdr:col>5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id="{00000000-0008-0000-03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932833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48</xdr:row>
      <xdr:rowOff>8659</xdr:rowOff>
    </xdr:from>
    <xdr:to>
      <xdr:col>9</xdr:col>
      <xdr:colOff>1272887</xdr:colOff>
      <xdr:row>1048576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454487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39</xdr:row>
      <xdr:rowOff>8659</xdr:rowOff>
    </xdr:from>
    <xdr:to>
      <xdr:col>5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932834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41</xdr:row>
      <xdr:rowOff>5196</xdr:rowOff>
    </xdr:from>
    <xdr:to>
      <xdr:col>5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929370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42</xdr:row>
      <xdr:rowOff>10391</xdr:rowOff>
    </xdr:from>
    <xdr:to>
      <xdr:col>9</xdr:col>
      <xdr:colOff>1274618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456218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39</xdr:row>
      <xdr:rowOff>8660</xdr:rowOff>
    </xdr:from>
    <xdr:to>
      <xdr:col>9</xdr:col>
      <xdr:colOff>1290205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id="{00000000-0008-0000-03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471805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40</xdr:row>
      <xdr:rowOff>5196</xdr:rowOff>
    </xdr:from>
    <xdr:to>
      <xdr:col>9</xdr:col>
      <xdr:colOff>1278083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id="{00000000-0008-0000-03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459683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43</xdr:row>
      <xdr:rowOff>8659</xdr:rowOff>
    </xdr:from>
    <xdr:to>
      <xdr:col>5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id="{00000000-0008-0000-03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924175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46</xdr:row>
      <xdr:rowOff>8659</xdr:rowOff>
    </xdr:from>
    <xdr:to>
      <xdr:col>5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id="{00000000-0008-0000-03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924175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44</xdr:row>
      <xdr:rowOff>5195</xdr:rowOff>
    </xdr:from>
    <xdr:to>
      <xdr:col>9</xdr:col>
      <xdr:colOff>1278082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id="{00000000-0008-0000-03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459682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48</xdr:row>
      <xdr:rowOff>8659</xdr:rowOff>
    </xdr:from>
    <xdr:to>
      <xdr:col>5</xdr:col>
      <xdr:colOff>0</xdr:colOff>
      <xdr:row>1048576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id="{00000000-0008-0000-03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924175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45</xdr:row>
      <xdr:rowOff>8659</xdr:rowOff>
    </xdr:from>
    <xdr:to>
      <xdr:col>9</xdr:col>
      <xdr:colOff>1281546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id="{00000000-0008-0000-03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463146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46</xdr:row>
      <xdr:rowOff>8659</xdr:rowOff>
    </xdr:from>
    <xdr:to>
      <xdr:col>9</xdr:col>
      <xdr:colOff>1281545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id="{00000000-0008-0000-03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463145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49</xdr:row>
      <xdr:rowOff>8659</xdr:rowOff>
    </xdr:from>
    <xdr:to>
      <xdr:col>5</xdr:col>
      <xdr:colOff>0</xdr:colOff>
      <xdr:row>1048576</xdr:row>
      <xdr:rowOff>179884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id="{00000000-0008-0000-03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924175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5</xdr:col>
      <xdr:colOff>155864</xdr:colOff>
      <xdr:row>0</xdr:row>
      <xdr:rowOff>0</xdr:rowOff>
    </xdr:from>
    <xdr:to>
      <xdr:col>5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id="{00000000-0008-0000-03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308003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158659</xdr:colOff>
      <xdr:row>0</xdr:row>
      <xdr:rowOff>0</xdr:rowOff>
    </xdr:from>
    <xdr:to>
      <xdr:col>5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id="{00000000-0008-0000-03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308283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161455</xdr:colOff>
      <xdr:row>0</xdr:row>
      <xdr:rowOff>0</xdr:rowOff>
    </xdr:from>
    <xdr:to>
      <xdr:col>5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id="{00000000-0008-0000-03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3085630" y="0"/>
          <a:ext cx="0" cy="35844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9525</xdr:colOff>
      <xdr:row>75</xdr:row>
      <xdr:rowOff>19050</xdr:rowOff>
    </xdr:from>
    <xdr:to>
      <xdr:col>11</xdr:col>
      <xdr:colOff>9525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886575" y="32070675"/>
          <a:ext cx="359999" cy="405634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1271732</xdr:colOff>
      <xdr:row>32</xdr:row>
      <xdr:rowOff>8083</xdr:rowOff>
    </xdr:from>
    <xdr:to>
      <xdr:col>9</xdr:col>
      <xdr:colOff>1271732</xdr:colOff>
      <xdr:row>34</xdr:row>
      <xdr:rowOff>56196</xdr:rowOff>
    </xdr:to>
    <xdr:pic>
      <xdr:nvPicPr>
        <xdr:cNvPr id="4" name="Imagem 17" descr="escudo_croacia_200.png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434282" y="15009958"/>
          <a:ext cx="432000" cy="429113"/>
        </a:xfrm>
        <a:prstGeom prst="rect">
          <a:avLst/>
        </a:prstGeom>
      </xdr:spPr>
    </xdr:pic>
    <xdr:clientData/>
  </xdr:twoCellAnchor>
  <xdr:twoCellAnchor editAs="oneCell">
    <xdr:from>
      <xdr:col>5</xdr:col>
      <xdr:colOff>16164</xdr:colOff>
      <xdr:row>17</xdr:row>
      <xdr:rowOff>12122</xdr:rowOff>
    </xdr:from>
    <xdr:to>
      <xdr:col>5</xdr:col>
      <xdr:colOff>16164</xdr:colOff>
      <xdr:row>19</xdr:row>
      <xdr:rowOff>60236</xdr:rowOff>
    </xdr:to>
    <xdr:pic>
      <xdr:nvPicPr>
        <xdr:cNvPr id="5" name="Imagem 77" descr="escudo_argentina_200.png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921289" y="8441747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1094510</xdr:colOff>
      <xdr:row>14</xdr:row>
      <xdr:rowOff>20782</xdr:rowOff>
    </xdr:from>
    <xdr:to>
      <xdr:col>4</xdr:col>
      <xdr:colOff>1094510</xdr:colOff>
      <xdr:row>16</xdr:row>
      <xdr:rowOff>65432</xdr:rowOff>
    </xdr:to>
    <xdr:pic>
      <xdr:nvPicPr>
        <xdr:cNvPr id="6" name="Imagem 78" descr="escudo_argentina_200.png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904260" y="7135957"/>
          <a:ext cx="427670" cy="425650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8</xdr:row>
      <xdr:rowOff>12124</xdr:rowOff>
    </xdr:from>
    <xdr:to>
      <xdr:col>9</xdr:col>
      <xdr:colOff>1285010</xdr:colOff>
      <xdr:row>10</xdr:row>
      <xdr:rowOff>60238</xdr:rowOff>
    </xdr:to>
    <xdr:pic>
      <xdr:nvPicPr>
        <xdr:cNvPr id="7" name="Imagem 79" descr="escudo_ira_200.png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447560" y="4498399"/>
          <a:ext cx="429490" cy="4291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29</xdr:row>
      <xdr:rowOff>12700</xdr:rowOff>
    </xdr:from>
    <xdr:to>
      <xdr:col>9</xdr:col>
      <xdr:colOff>1285010</xdr:colOff>
      <xdr:row>31</xdr:row>
      <xdr:rowOff>57351</xdr:rowOff>
    </xdr:to>
    <xdr:pic>
      <xdr:nvPicPr>
        <xdr:cNvPr id="8" name="Imagem 85" descr="escudo_alemanha_200.png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447560" y="13700125"/>
          <a:ext cx="429490" cy="4256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3463</xdr:colOff>
      <xdr:row>26</xdr:row>
      <xdr:rowOff>17319</xdr:rowOff>
    </xdr:from>
    <xdr:to>
      <xdr:col>5</xdr:col>
      <xdr:colOff>3463</xdr:colOff>
      <xdr:row>28</xdr:row>
      <xdr:rowOff>64856</xdr:rowOff>
    </xdr:to>
    <xdr:pic>
      <xdr:nvPicPr>
        <xdr:cNvPr id="9" name="Imagem 87" descr="escudo_alemanha_200.png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908588" y="12390294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5</xdr:col>
      <xdr:colOff>12122</xdr:colOff>
      <xdr:row>45</xdr:row>
      <xdr:rowOff>16742</xdr:rowOff>
    </xdr:from>
    <xdr:to>
      <xdr:col>5</xdr:col>
      <xdr:colOff>12122</xdr:colOff>
      <xdr:row>47</xdr:row>
      <xdr:rowOff>61393</xdr:rowOff>
    </xdr:to>
    <xdr:pic>
      <xdr:nvPicPr>
        <xdr:cNvPr id="10" name="Imagem 90" descr="escudo_portugal_200.png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917247" y="20714567"/>
          <a:ext cx="432000" cy="4256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3461</xdr:colOff>
      <xdr:row>32</xdr:row>
      <xdr:rowOff>12700</xdr:rowOff>
    </xdr:from>
    <xdr:to>
      <xdr:col>5</xdr:col>
      <xdr:colOff>3461</xdr:colOff>
      <xdr:row>34</xdr:row>
      <xdr:rowOff>57351</xdr:rowOff>
    </xdr:to>
    <xdr:pic>
      <xdr:nvPicPr>
        <xdr:cNvPr id="11" name="Picture 478" descr="marrocos.png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8586" y="15014575"/>
          <a:ext cx="432000" cy="425651"/>
        </a:xfrm>
        <a:prstGeom prst="rect">
          <a:avLst/>
        </a:prstGeom>
      </xdr:spPr>
    </xdr:pic>
    <xdr:clientData/>
  </xdr:twoCellAnchor>
  <xdr:twoCellAnchor editAs="oneCell">
    <xdr:from>
      <xdr:col>9</xdr:col>
      <xdr:colOff>1267114</xdr:colOff>
      <xdr:row>23</xdr:row>
      <xdr:rowOff>3464</xdr:rowOff>
    </xdr:from>
    <xdr:to>
      <xdr:col>9</xdr:col>
      <xdr:colOff>1267114</xdr:colOff>
      <xdr:row>25</xdr:row>
      <xdr:rowOff>51578</xdr:rowOff>
    </xdr:to>
    <xdr:pic>
      <xdr:nvPicPr>
        <xdr:cNvPr id="12" name="Picture 486" descr="dinamarca.png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29664" y="11061989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11544</xdr:colOff>
      <xdr:row>22</xdr:row>
      <xdr:rowOff>12700</xdr:rowOff>
    </xdr:from>
    <xdr:to>
      <xdr:col>5</xdr:col>
      <xdr:colOff>11544</xdr:colOff>
      <xdr:row>24</xdr:row>
      <xdr:rowOff>57350</xdr:rowOff>
    </xdr:to>
    <xdr:pic>
      <xdr:nvPicPr>
        <xdr:cNvPr id="13" name="Picture 503" descr="tunisia.png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6669" y="10633075"/>
          <a:ext cx="432000" cy="4256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1275525</xdr:colOff>
      <xdr:row>30</xdr:row>
      <xdr:rowOff>11417</xdr:rowOff>
    </xdr:from>
    <xdr:to>
      <xdr:col>9</xdr:col>
      <xdr:colOff>1275525</xdr:colOff>
      <xdr:row>32</xdr:row>
      <xdr:rowOff>56709</xdr:rowOff>
    </xdr:to>
    <xdr:pic>
      <xdr:nvPicPr>
        <xdr:cNvPr id="14" name="Imagem 30" descr="escudo_espanha_200.png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438075" y="14136992"/>
          <a:ext cx="430316" cy="426292"/>
        </a:xfrm>
        <a:prstGeom prst="rect">
          <a:avLst/>
        </a:prstGeom>
      </xdr:spPr>
    </xdr:pic>
    <xdr:clientData/>
  </xdr:twoCellAnchor>
  <xdr:twoCellAnchor editAs="oneCell">
    <xdr:from>
      <xdr:col>9</xdr:col>
      <xdr:colOff>1266341</xdr:colOff>
      <xdr:row>18</xdr:row>
      <xdr:rowOff>9988</xdr:rowOff>
    </xdr:from>
    <xdr:to>
      <xdr:col>9</xdr:col>
      <xdr:colOff>1266341</xdr:colOff>
      <xdr:row>20</xdr:row>
      <xdr:rowOff>55280</xdr:rowOff>
    </xdr:to>
    <xdr:pic>
      <xdr:nvPicPr>
        <xdr:cNvPr id="15" name="Imagem 78" descr="escudo_argentina_200.png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428891" y="8877763"/>
          <a:ext cx="432000" cy="426292"/>
        </a:xfrm>
        <a:prstGeom prst="rect">
          <a:avLst/>
        </a:prstGeom>
      </xdr:spPr>
    </xdr:pic>
    <xdr:clientData/>
  </xdr:twoCellAnchor>
  <xdr:twoCellAnchor editAs="oneCell">
    <xdr:from>
      <xdr:col>5</xdr:col>
      <xdr:colOff>9211</xdr:colOff>
      <xdr:row>38</xdr:row>
      <xdr:rowOff>6511</xdr:rowOff>
    </xdr:from>
    <xdr:to>
      <xdr:col>5</xdr:col>
      <xdr:colOff>9211</xdr:colOff>
      <xdr:row>40</xdr:row>
      <xdr:rowOff>54625</xdr:rowOff>
    </xdr:to>
    <xdr:pic>
      <xdr:nvPicPr>
        <xdr:cNvPr id="16" name="Imagem 65" descr="escudo_suica_200.png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914336" y="17637286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1272957</xdr:colOff>
      <xdr:row>31</xdr:row>
      <xdr:rowOff>16935</xdr:rowOff>
    </xdr:from>
    <xdr:to>
      <xdr:col>9</xdr:col>
      <xdr:colOff>1272957</xdr:colOff>
      <xdr:row>33</xdr:row>
      <xdr:rowOff>67293</xdr:rowOff>
    </xdr:to>
    <xdr:pic>
      <xdr:nvPicPr>
        <xdr:cNvPr id="17" name="Imagem 87" descr="escudo_alemanha_200.png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435507" y="14580660"/>
          <a:ext cx="432000" cy="431358"/>
        </a:xfrm>
        <a:prstGeom prst="rect">
          <a:avLst/>
        </a:prstGeom>
      </xdr:spPr>
    </xdr:pic>
    <xdr:clientData/>
  </xdr:twoCellAnchor>
  <xdr:twoCellAnchor editAs="oneCell">
    <xdr:from>
      <xdr:col>5</xdr:col>
      <xdr:colOff>858124</xdr:colOff>
      <xdr:row>0</xdr:row>
      <xdr:rowOff>0</xdr:rowOff>
    </xdr:from>
    <xdr:to>
      <xdr:col>5</xdr:col>
      <xdr:colOff>858124</xdr:colOff>
      <xdr:row>4</xdr:row>
      <xdr:rowOff>57809</xdr:rowOff>
    </xdr:to>
    <xdr:pic>
      <xdr:nvPicPr>
        <xdr:cNvPr id="18" name="Imagem 17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763249" y="128399"/>
          <a:ext cx="2877403" cy="1219859"/>
        </a:xfrm>
        <a:prstGeom prst="rect">
          <a:avLst/>
        </a:prstGeom>
      </xdr:spPr>
    </xdr:pic>
    <xdr:clientData/>
  </xdr:twoCellAnchor>
  <xdr:twoCellAnchor editAs="oneCell">
    <xdr:from>
      <xdr:col>3</xdr:col>
      <xdr:colOff>589597</xdr:colOff>
      <xdr:row>0</xdr:row>
      <xdr:rowOff>0</xdr:rowOff>
    </xdr:from>
    <xdr:to>
      <xdr:col>3</xdr:col>
      <xdr:colOff>351472</xdr:colOff>
      <xdr:row>4</xdr:row>
      <xdr:rowOff>158192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646872" y="21404"/>
          <a:ext cx="1206899" cy="1425017"/>
        </a:xfrm>
        <a:prstGeom prst="rect">
          <a:avLst/>
        </a:prstGeom>
      </xdr:spPr>
    </xdr:pic>
    <xdr:clientData/>
  </xdr:twoCellAnchor>
  <xdr:twoCellAnchor editAs="oneCell">
    <xdr:from>
      <xdr:col>5</xdr:col>
      <xdr:colOff>21405</xdr:colOff>
      <xdr:row>1</xdr:row>
      <xdr:rowOff>194582</xdr:rowOff>
    </xdr:from>
    <xdr:to>
      <xdr:col>5</xdr:col>
      <xdr:colOff>21405</xdr:colOff>
      <xdr:row>4</xdr:row>
      <xdr:rowOff>58769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926530" y="1851932"/>
          <a:ext cx="432000" cy="435687"/>
        </a:xfrm>
        <a:prstGeom prst="rect">
          <a:avLst/>
        </a:prstGeom>
      </xdr:spPr>
    </xdr:pic>
    <xdr:clientData/>
  </xdr:twoCellAnchor>
  <xdr:twoCellAnchor editAs="oneCell">
    <xdr:from>
      <xdr:col>5</xdr:col>
      <xdr:colOff>23975</xdr:colOff>
      <xdr:row>4</xdr:row>
      <xdr:rowOff>13267</xdr:rowOff>
    </xdr:from>
    <xdr:to>
      <xdr:col>5</xdr:col>
      <xdr:colOff>23975</xdr:colOff>
      <xdr:row>6</xdr:row>
      <xdr:rowOff>63626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929100" y="2746942"/>
          <a:ext cx="432001" cy="431359"/>
        </a:xfrm>
        <a:prstGeom prst="rect">
          <a:avLst/>
        </a:prstGeom>
      </xdr:spPr>
    </xdr:pic>
    <xdr:clientData/>
  </xdr:twoCellAnchor>
  <xdr:twoCellAnchor editAs="oneCell">
    <xdr:from>
      <xdr:col>9</xdr:col>
      <xdr:colOff>1257302</xdr:colOff>
      <xdr:row>6</xdr:row>
      <xdr:rowOff>5134</xdr:rowOff>
    </xdr:from>
    <xdr:to>
      <xdr:col>9</xdr:col>
      <xdr:colOff>1257302</xdr:colOff>
      <xdr:row>8</xdr:row>
      <xdr:rowOff>56135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419852" y="3615109"/>
          <a:ext cx="432001" cy="432001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44</xdr:row>
      <xdr:rowOff>10702</xdr:rowOff>
    </xdr:from>
    <xdr:to>
      <xdr:col>5</xdr:col>
      <xdr:colOff>0</xdr:colOff>
      <xdr:row>46</xdr:row>
      <xdr:rowOff>61060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905125" y="20270377"/>
          <a:ext cx="432000" cy="431358"/>
        </a:xfrm>
        <a:prstGeom prst="rect">
          <a:avLst/>
        </a:prstGeom>
      </xdr:spPr>
    </xdr:pic>
    <xdr:clientData/>
  </xdr:twoCellAnchor>
  <xdr:twoCellAnchor editAs="oneCell">
    <xdr:from>
      <xdr:col>9</xdr:col>
      <xdr:colOff>1265434</xdr:colOff>
      <xdr:row>49</xdr:row>
      <xdr:rowOff>2567</xdr:rowOff>
    </xdr:from>
    <xdr:to>
      <xdr:col>9</xdr:col>
      <xdr:colOff>1265434</xdr:colOff>
      <xdr:row>73</xdr:row>
      <xdr:rowOff>53567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427984" y="2245299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1268002</xdr:colOff>
      <xdr:row>47</xdr:row>
      <xdr:rowOff>15839</xdr:rowOff>
    </xdr:from>
    <xdr:to>
      <xdr:col>9</xdr:col>
      <xdr:colOff>1268002</xdr:colOff>
      <xdr:row>49</xdr:row>
      <xdr:rowOff>66197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430552" y="21589964"/>
          <a:ext cx="432000" cy="431358"/>
        </a:xfrm>
        <a:prstGeom prst="rect">
          <a:avLst/>
        </a:prstGeom>
      </xdr:spPr>
    </xdr:pic>
    <xdr:clientData/>
  </xdr:twoCellAnchor>
  <xdr:twoCellAnchor editAs="oneCell">
    <xdr:from>
      <xdr:col>9</xdr:col>
      <xdr:colOff>1376016</xdr:colOff>
      <xdr:row>2</xdr:row>
      <xdr:rowOff>4087</xdr:rowOff>
    </xdr:from>
    <xdr:to>
      <xdr:col>9</xdr:col>
      <xdr:colOff>1376016</xdr:colOff>
      <xdr:row>4</xdr:row>
      <xdr:rowOff>57908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538566" y="1861462"/>
          <a:ext cx="321166" cy="434821"/>
        </a:xfrm>
        <a:prstGeom prst="rect">
          <a:avLst/>
        </a:prstGeom>
      </xdr:spPr>
    </xdr:pic>
    <xdr:clientData/>
  </xdr:twoCellAnchor>
  <xdr:twoCellAnchor editAs="oneCell">
    <xdr:from>
      <xdr:col>9</xdr:col>
      <xdr:colOff>1346576</xdr:colOff>
      <xdr:row>5</xdr:row>
      <xdr:rowOff>9282</xdr:rowOff>
    </xdr:from>
    <xdr:to>
      <xdr:col>9</xdr:col>
      <xdr:colOff>1346576</xdr:colOff>
      <xdr:row>7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509126" y="3181107"/>
          <a:ext cx="321166" cy="431357"/>
        </a:xfrm>
        <a:prstGeom prst="rect">
          <a:avLst/>
        </a:prstGeom>
      </xdr:spPr>
    </xdr:pic>
    <xdr:clientData/>
  </xdr:twoCellAnchor>
  <xdr:twoCellAnchor editAs="oneCell">
    <xdr:from>
      <xdr:col>5</xdr:col>
      <xdr:colOff>44248</xdr:colOff>
      <xdr:row>7</xdr:row>
      <xdr:rowOff>5818</xdr:rowOff>
    </xdr:from>
    <xdr:to>
      <xdr:col>5</xdr:col>
      <xdr:colOff>44248</xdr:colOff>
      <xdr:row>9</xdr:row>
      <xdr:rowOff>59639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00000000-0008-0000-0400-00001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949373" y="4053943"/>
          <a:ext cx="321166" cy="434821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</xdr:row>
      <xdr:rowOff>8659</xdr:rowOff>
    </xdr:from>
    <xdr:to>
      <xdr:col>5</xdr:col>
      <xdr:colOff>8659</xdr:colOff>
      <xdr:row>5</xdr:row>
      <xdr:rowOff>59659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913784" y="2304184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</xdr:row>
      <xdr:rowOff>13854</xdr:rowOff>
    </xdr:from>
    <xdr:to>
      <xdr:col>9</xdr:col>
      <xdr:colOff>1278082</xdr:colOff>
      <xdr:row>6</xdr:row>
      <xdr:rowOff>61391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440632" y="2747529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1265959</xdr:colOff>
      <xdr:row>7</xdr:row>
      <xdr:rowOff>1731</xdr:rowOff>
    </xdr:from>
    <xdr:to>
      <xdr:col>9</xdr:col>
      <xdr:colOff>1265959</xdr:colOff>
      <xdr:row>9</xdr:row>
      <xdr:rowOff>52731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428509" y="4049856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3</xdr:row>
      <xdr:rowOff>8658</xdr:rowOff>
    </xdr:from>
    <xdr:to>
      <xdr:col>9</xdr:col>
      <xdr:colOff>1290206</xdr:colOff>
      <xdr:row>5</xdr:row>
      <xdr:rowOff>59658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452756" y="2304183"/>
          <a:ext cx="424294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1096242</xdr:colOff>
      <xdr:row>5</xdr:row>
      <xdr:rowOff>13854</xdr:rowOff>
    </xdr:from>
    <xdr:to>
      <xdr:col>4</xdr:col>
      <xdr:colOff>1096242</xdr:colOff>
      <xdr:row>7</xdr:row>
      <xdr:rowOff>61390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905992" y="3185679"/>
          <a:ext cx="419964" cy="428536"/>
        </a:xfrm>
        <a:prstGeom prst="rect">
          <a:avLst/>
        </a:prstGeom>
      </xdr:spPr>
    </xdr:pic>
    <xdr:clientData/>
  </xdr:twoCellAnchor>
  <xdr:twoCellAnchor editAs="oneCell">
    <xdr:from>
      <xdr:col>4</xdr:col>
      <xdr:colOff>1092778</xdr:colOff>
      <xdr:row>6</xdr:row>
      <xdr:rowOff>10390</xdr:rowOff>
    </xdr:from>
    <xdr:to>
      <xdr:col>4</xdr:col>
      <xdr:colOff>1092778</xdr:colOff>
      <xdr:row>8</xdr:row>
      <xdr:rowOff>57926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902528" y="3620365"/>
          <a:ext cx="419964" cy="428536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8</xdr:row>
      <xdr:rowOff>0</xdr:rowOff>
    </xdr:from>
    <xdr:to>
      <xdr:col>5</xdr:col>
      <xdr:colOff>0</xdr:colOff>
      <xdr:row>10</xdr:row>
      <xdr:rowOff>51000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00000000-0008-0000-04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905125" y="448627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11</xdr:row>
      <xdr:rowOff>13854</xdr:rowOff>
    </xdr:from>
    <xdr:to>
      <xdr:col>5</xdr:col>
      <xdr:colOff>5196</xdr:colOff>
      <xdr:row>13</xdr:row>
      <xdr:rowOff>61390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00000000-0008-0000-04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910321" y="5814579"/>
          <a:ext cx="432000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12</xdr:row>
      <xdr:rowOff>10390</xdr:rowOff>
    </xdr:from>
    <xdr:to>
      <xdr:col>9</xdr:col>
      <xdr:colOff>1274619</xdr:colOff>
      <xdr:row>14</xdr:row>
      <xdr:rowOff>57927</xdr:rowOff>
    </xdr:to>
    <xdr:pic>
      <xdr:nvPicPr>
        <xdr:cNvPr id="37" name="Imagem 36">
          <a:extLst>
            <a:ext uri="{FF2B5EF4-FFF2-40B4-BE49-F238E27FC236}">
              <a16:creationId xmlns:a16="http://schemas.microsoft.com/office/drawing/2014/main" id="{00000000-0008-0000-04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437169" y="6249265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10</xdr:row>
      <xdr:rowOff>17319</xdr:rowOff>
    </xdr:from>
    <xdr:to>
      <xdr:col>9</xdr:col>
      <xdr:colOff>1290206</xdr:colOff>
      <xdr:row>12</xdr:row>
      <xdr:rowOff>61970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id="{00000000-0008-0000-04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452756" y="5379894"/>
          <a:ext cx="424294" cy="425651"/>
        </a:xfrm>
        <a:prstGeom prst="rect">
          <a:avLst/>
        </a:prstGeom>
      </xdr:spPr>
    </xdr:pic>
    <xdr:clientData/>
  </xdr:twoCellAnchor>
  <xdr:twoCellAnchor editAs="oneCell">
    <xdr:from>
      <xdr:col>4</xdr:col>
      <xdr:colOff>1087583</xdr:colOff>
      <xdr:row>13</xdr:row>
      <xdr:rowOff>13855</xdr:rowOff>
    </xdr:from>
    <xdr:to>
      <xdr:col>4</xdr:col>
      <xdr:colOff>1087583</xdr:colOff>
      <xdr:row>15</xdr:row>
      <xdr:rowOff>58505</xdr:rowOff>
    </xdr:to>
    <xdr:pic>
      <xdr:nvPicPr>
        <xdr:cNvPr id="39" name="Imagem 79" descr="escudo_ira_200.png">
          <a:extLst>
            <a:ext uri="{FF2B5EF4-FFF2-40B4-BE49-F238E27FC236}">
              <a16:creationId xmlns:a16="http://schemas.microsoft.com/office/drawing/2014/main" id="{00000000-0008-0000-04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897333" y="6690880"/>
          <a:ext cx="419964" cy="42565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9</xdr:row>
      <xdr:rowOff>0</xdr:rowOff>
    </xdr:from>
    <xdr:to>
      <xdr:col>5</xdr:col>
      <xdr:colOff>0</xdr:colOff>
      <xdr:row>11</xdr:row>
      <xdr:rowOff>51000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04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905125" y="492442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13</xdr:row>
      <xdr:rowOff>13855</xdr:rowOff>
    </xdr:from>
    <xdr:to>
      <xdr:col>9</xdr:col>
      <xdr:colOff>1278083</xdr:colOff>
      <xdr:row>15</xdr:row>
      <xdr:rowOff>61391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id="{00000000-0008-0000-04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440633" y="6690880"/>
          <a:ext cx="432000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1283278</xdr:colOff>
      <xdr:row>11</xdr:row>
      <xdr:rowOff>19050</xdr:rowOff>
    </xdr:from>
    <xdr:to>
      <xdr:col>9</xdr:col>
      <xdr:colOff>1283278</xdr:colOff>
      <xdr:row>13</xdr:row>
      <xdr:rowOff>66586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04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445828" y="5819775"/>
          <a:ext cx="431222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9</xdr:row>
      <xdr:rowOff>8660</xdr:rowOff>
    </xdr:from>
    <xdr:to>
      <xdr:col>9</xdr:col>
      <xdr:colOff>1272886</xdr:colOff>
      <xdr:row>11</xdr:row>
      <xdr:rowOff>59660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00000000-0008-0000-04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435436" y="493308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10</xdr:row>
      <xdr:rowOff>13855</xdr:rowOff>
    </xdr:from>
    <xdr:to>
      <xdr:col>5</xdr:col>
      <xdr:colOff>5195</xdr:colOff>
      <xdr:row>12</xdr:row>
      <xdr:rowOff>61392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id="{00000000-0008-0000-04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910320" y="5376430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12</xdr:row>
      <xdr:rowOff>19051</xdr:rowOff>
    </xdr:from>
    <xdr:to>
      <xdr:col>5</xdr:col>
      <xdr:colOff>1731</xdr:colOff>
      <xdr:row>14</xdr:row>
      <xdr:rowOff>66588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00000000-0008-0000-0400-00002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906856" y="6257926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1272885</xdr:colOff>
      <xdr:row>14</xdr:row>
      <xdr:rowOff>0</xdr:rowOff>
    </xdr:from>
    <xdr:to>
      <xdr:col>9</xdr:col>
      <xdr:colOff>1272885</xdr:colOff>
      <xdr:row>16</xdr:row>
      <xdr:rowOff>51000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00000000-0008-0000-04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435435" y="7115175"/>
          <a:ext cx="434123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1269421</xdr:colOff>
      <xdr:row>16</xdr:row>
      <xdr:rowOff>5195</xdr:rowOff>
    </xdr:from>
    <xdr:to>
      <xdr:col>9</xdr:col>
      <xdr:colOff>1269421</xdr:colOff>
      <xdr:row>18</xdr:row>
      <xdr:rowOff>56195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id="{00000000-0008-0000-04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431971" y="7996670"/>
          <a:ext cx="434123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10389</xdr:colOff>
      <xdr:row>19</xdr:row>
      <xdr:rowOff>1731</xdr:rowOff>
    </xdr:from>
    <xdr:to>
      <xdr:col>5</xdr:col>
      <xdr:colOff>10389</xdr:colOff>
      <xdr:row>21</xdr:row>
      <xdr:rowOff>52731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00000000-0008-0000-04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915514" y="9307656"/>
          <a:ext cx="434123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15</xdr:row>
      <xdr:rowOff>0</xdr:rowOff>
    </xdr:from>
    <xdr:to>
      <xdr:col>5</xdr:col>
      <xdr:colOff>0</xdr:colOff>
      <xdr:row>17</xdr:row>
      <xdr:rowOff>51000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id="{00000000-0008-0000-04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905125" y="755332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1269424</xdr:colOff>
      <xdr:row>17</xdr:row>
      <xdr:rowOff>5196</xdr:rowOff>
    </xdr:from>
    <xdr:to>
      <xdr:col>9</xdr:col>
      <xdr:colOff>1269424</xdr:colOff>
      <xdr:row>19</xdr:row>
      <xdr:rowOff>56196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id="{00000000-0008-0000-04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431974" y="843482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19</xdr:row>
      <xdr:rowOff>10392</xdr:rowOff>
    </xdr:from>
    <xdr:to>
      <xdr:col>9</xdr:col>
      <xdr:colOff>1274619</xdr:colOff>
      <xdr:row>21</xdr:row>
      <xdr:rowOff>57928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04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437169" y="9316317"/>
          <a:ext cx="432000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15</xdr:row>
      <xdr:rowOff>8659</xdr:rowOff>
    </xdr:from>
    <xdr:to>
      <xdr:col>9</xdr:col>
      <xdr:colOff>1281546</xdr:colOff>
      <xdr:row>17</xdr:row>
      <xdr:rowOff>59659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00000000-0008-0000-04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444096" y="7561984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16</xdr:row>
      <xdr:rowOff>5196</xdr:rowOff>
    </xdr:from>
    <xdr:to>
      <xdr:col>4</xdr:col>
      <xdr:colOff>1096241</xdr:colOff>
      <xdr:row>18</xdr:row>
      <xdr:rowOff>56196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id="{00000000-0008-0000-04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905991" y="7996671"/>
          <a:ext cx="427670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18</xdr:row>
      <xdr:rowOff>10391</xdr:rowOff>
    </xdr:from>
    <xdr:to>
      <xdr:col>5</xdr:col>
      <xdr:colOff>1731</xdr:colOff>
      <xdr:row>20</xdr:row>
      <xdr:rowOff>57928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0000000-0008-0000-0400-00003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906856" y="8878166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21</xdr:row>
      <xdr:rowOff>0</xdr:rowOff>
    </xdr:from>
    <xdr:to>
      <xdr:col>5</xdr:col>
      <xdr:colOff>0</xdr:colOff>
      <xdr:row>23</xdr:row>
      <xdr:rowOff>51000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04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905125" y="1018222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23</xdr:row>
      <xdr:rowOff>5196</xdr:rowOff>
    </xdr:from>
    <xdr:to>
      <xdr:col>5</xdr:col>
      <xdr:colOff>5196</xdr:colOff>
      <xdr:row>25</xdr:row>
      <xdr:rowOff>56196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00000000-0008-0000-04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910321" y="1106372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1265960</xdr:colOff>
      <xdr:row>24</xdr:row>
      <xdr:rowOff>10392</xdr:rowOff>
    </xdr:from>
    <xdr:to>
      <xdr:col>9</xdr:col>
      <xdr:colOff>1265960</xdr:colOff>
      <xdr:row>26</xdr:row>
      <xdr:rowOff>57928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id="{00000000-0008-0000-04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428510" y="11507067"/>
          <a:ext cx="432000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1264227</xdr:colOff>
      <xdr:row>21</xdr:row>
      <xdr:rowOff>17318</xdr:rowOff>
    </xdr:from>
    <xdr:to>
      <xdr:col>9</xdr:col>
      <xdr:colOff>1264227</xdr:colOff>
      <xdr:row>23</xdr:row>
      <xdr:rowOff>64855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04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426777" y="10199543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1269422</xdr:colOff>
      <xdr:row>22</xdr:row>
      <xdr:rowOff>5196</xdr:rowOff>
    </xdr:from>
    <xdr:to>
      <xdr:col>9</xdr:col>
      <xdr:colOff>1269422</xdr:colOff>
      <xdr:row>24</xdr:row>
      <xdr:rowOff>56196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00000000-0008-0000-04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431972" y="1062557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25</xdr:row>
      <xdr:rowOff>1732</xdr:rowOff>
    </xdr:from>
    <xdr:to>
      <xdr:col>5</xdr:col>
      <xdr:colOff>10390</xdr:colOff>
      <xdr:row>27</xdr:row>
      <xdr:rowOff>52732</xdr:rowOff>
    </xdr:to>
    <xdr:pic>
      <xdr:nvPicPr>
        <xdr:cNvPr id="60" name="Imagem 59">
          <a:extLst>
            <a:ext uri="{FF2B5EF4-FFF2-40B4-BE49-F238E27FC236}">
              <a16:creationId xmlns:a16="http://schemas.microsoft.com/office/drawing/2014/main" id="{00000000-0008-0000-0400-00003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915515" y="11936557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1263651</xdr:colOff>
      <xdr:row>25</xdr:row>
      <xdr:rowOff>1</xdr:rowOff>
    </xdr:from>
    <xdr:to>
      <xdr:col>9</xdr:col>
      <xdr:colOff>1263651</xdr:colOff>
      <xdr:row>27</xdr:row>
      <xdr:rowOff>48115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id="{00000000-0008-0000-04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26201" y="11934826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4619</xdr:colOff>
      <xdr:row>20</xdr:row>
      <xdr:rowOff>5195</xdr:rowOff>
    </xdr:from>
    <xdr:to>
      <xdr:col>5</xdr:col>
      <xdr:colOff>4619</xdr:colOff>
      <xdr:row>22</xdr:row>
      <xdr:rowOff>53309</xdr:rowOff>
    </xdr:to>
    <xdr:pic>
      <xdr:nvPicPr>
        <xdr:cNvPr id="62" name="Picture 486" descr="dinamarca.png">
          <a:extLst>
            <a:ext uri="{FF2B5EF4-FFF2-40B4-BE49-F238E27FC236}">
              <a16:creationId xmlns:a16="http://schemas.microsoft.com/office/drawing/2014/main" id="{00000000-0008-0000-04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9744" y="9749270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1272308</xdr:colOff>
      <xdr:row>20</xdr:row>
      <xdr:rowOff>9236</xdr:rowOff>
    </xdr:from>
    <xdr:to>
      <xdr:col>9</xdr:col>
      <xdr:colOff>1272308</xdr:colOff>
      <xdr:row>22</xdr:row>
      <xdr:rowOff>57350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id="{00000000-0008-0000-04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4858" y="9753311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4617</xdr:colOff>
      <xdr:row>24</xdr:row>
      <xdr:rowOff>5773</xdr:rowOff>
    </xdr:from>
    <xdr:to>
      <xdr:col>5</xdr:col>
      <xdr:colOff>4617</xdr:colOff>
      <xdr:row>26</xdr:row>
      <xdr:rowOff>53887</xdr:rowOff>
    </xdr:to>
    <xdr:pic>
      <xdr:nvPicPr>
        <xdr:cNvPr id="64" name="Picture 503" descr="tunisia.png">
          <a:extLst>
            <a:ext uri="{FF2B5EF4-FFF2-40B4-BE49-F238E27FC236}">
              <a16:creationId xmlns:a16="http://schemas.microsoft.com/office/drawing/2014/main" id="{00000000-0008-0000-04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9742" y="11502448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27</xdr:row>
      <xdr:rowOff>17318</xdr:rowOff>
    </xdr:from>
    <xdr:to>
      <xdr:col>5</xdr:col>
      <xdr:colOff>0</xdr:colOff>
      <xdr:row>29</xdr:row>
      <xdr:rowOff>59146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id="{00000000-0008-0000-04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905125" y="12828443"/>
          <a:ext cx="430316" cy="422828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29</xdr:row>
      <xdr:rowOff>17318</xdr:rowOff>
    </xdr:from>
    <xdr:to>
      <xdr:col>5</xdr:col>
      <xdr:colOff>8659</xdr:colOff>
      <xdr:row>31</xdr:row>
      <xdr:rowOff>59147</xdr:rowOff>
    </xdr:to>
    <xdr:pic>
      <xdr:nvPicPr>
        <xdr:cNvPr id="66" name="Imagem 30" descr="escudo_espanha_200.png">
          <a:extLst>
            <a:ext uri="{FF2B5EF4-FFF2-40B4-BE49-F238E27FC236}">
              <a16:creationId xmlns:a16="http://schemas.microsoft.com/office/drawing/2014/main" id="{00000000-0008-0000-04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913784" y="13704743"/>
          <a:ext cx="430316" cy="42282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28</xdr:row>
      <xdr:rowOff>8659</xdr:rowOff>
    </xdr:from>
    <xdr:to>
      <xdr:col>5</xdr:col>
      <xdr:colOff>0</xdr:colOff>
      <xdr:row>30</xdr:row>
      <xdr:rowOff>59659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id="{00000000-0008-0000-04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905125" y="13257934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30</xdr:row>
      <xdr:rowOff>13855</xdr:rowOff>
    </xdr:from>
    <xdr:to>
      <xdr:col>4</xdr:col>
      <xdr:colOff>1096241</xdr:colOff>
      <xdr:row>32</xdr:row>
      <xdr:rowOff>61391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id="{00000000-0008-0000-04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905991" y="14139430"/>
          <a:ext cx="427670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26</xdr:row>
      <xdr:rowOff>1732</xdr:rowOff>
    </xdr:from>
    <xdr:to>
      <xdr:col>9</xdr:col>
      <xdr:colOff>1274618</xdr:colOff>
      <xdr:row>28</xdr:row>
      <xdr:rowOff>52732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id="{00000000-0008-0000-04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437168" y="12374707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27</xdr:row>
      <xdr:rowOff>8659</xdr:rowOff>
    </xdr:from>
    <xdr:to>
      <xdr:col>9</xdr:col>
      <xdr:colOff>1272886</xdr:colOff>
      <xdr:row>29</xdr:row>
      <xdr:rowOff>56059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id="{00000000-0008-0000-04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435436" y="12819784"/>
          <a:ext cx="4320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28</xdr:row>
      <xdr:rowOff>13854</xdr:rowOff>
    </xdr:from>
    <xdr:to>
      <xdr:col>9</xdr:col>
      <xdr:colOff>1278081</xdr:colOff>
      <xdr:row>30</xdr:row>
      <xdr:rowOff>57790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id="{00000000-0008-0000-04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440631" y="13263129"/>
          <a:ext cx="427760" cy="424936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31</xdr:row>
      <xdr:rowOff>8659</xdr:rowOff>
    </xdr:from>
    <xdr:to>
      <xdr:col>5</xdr:col>
      <xdr:colOff>8659</xdr:colOff>
      <xdr:row>33</xdr:row>
      <xdr:rowOff>56059</xdr:rowOff>
    </xdr:to>
    <xdr:pic>
      <xdr:nvPicPr>
        <xdr:cNvPr id="72" name="Imagem 71">
          <a:extLst>
            <a:ext uri="{FF2B5EF4-FFF2-40B4-BE49-F238E27FC236}">
              <a16:creationId xmlns:a16="http://schemas.microsoft.com/office/drawing/2014/main" id="{00000000-0008-0000-0400-00004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913784" y="1457238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1281544</xdr:colOff>
      <xdr:row>34</xdr:row>
      <xdr:rowOff>17895</xdr:rowOff>
    </xdr:from>
    <xdr:to>
      <xdr:col>9</xdr:col>
      <xdr:colOff>1281544</xdr:colOff>
      <xdr:row>36</xdr:row>
      <xdr:rowOff>62546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id="{00000000-0008-0000-04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4094" y="15896070"/>
          <a:ext cx="424297" cy="425651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37</xdr:row>
      <xdr:rowOff>8659</xdr:rowOff>
    </xdr:from>
    <xdr:to>
      <xdr:col>9</xdr:col>
      <xdr:colOff>1290205</xdr:colOff>
      <xdr:row>39</xdr:row>
      <xdr:rowOff>56773</xdr:rowOff>
    </xdr:to>
    <xdr:pic>
      <xdr:nvPicPr>
        <xdr:cNvPr id="74" name="Picture 478" descr="marrocos.png">
          <a:extLst>
            <a:ext uri="{FF2B5EF4-FFF2-40B4-BE49-F238E27FC236}">
              <a16:creationId xmlns:a16="http://schemas.microsoft.com/office/drawing/2014/main" id="{00000000-0008-0000-04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52755" y="17201284"/>
          <a:ext cx="424295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34</xdr:row>
      <xdr:rowOff>8658</xdr:rowOff>
    </xdr:from>
    <xdr:to>
      <xdr:col>5</xdr:col>
      <xdr:colOff>0</xdr:colOff>
      <xdr:row>36</xdr:row>
      <xdr:rowOff>56058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id="{00000000-0008-0000-04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905125" y="15886833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36</xdr:row>
      <xdr:rowOff>5195</xdr:rowOff>
    </xdr:from>
    <xdr:to>
      <xdr:col>9</xdr:col>
      <xdr:colOff>1278081</xdr:colOff>
      <xdr:row>38</xdr:row>
      <xdr:rowOff>52595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id="{00000000-0008-0000-04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440631" y="16759670"/>
          <a:ext cx="42776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33</xdr:row>
      <xdr:rowOff>10391</xdr:rowOff>
    </xdr:from>
    <xdr:to>
      <xdr:col>5</xdr:col>
      <xdr:colOff>10390</xdr:colOff>
      <xdr:row>35</xdr:row>
      <xdr:rowOff>57791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id="{00000000-0008-0000-04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915515" y="15450416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33</xdr:row>
      <xdr:rowOff>8659</xdr:rowOff>
    </xdr:from>
    <xdr:to>
      <xdr:col>9</xdr:col>
      <xdr:colOff>1272887</xdr:colOff>
      <xdr:row>35</xdr:row>
      <xdr:rowOff>56059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id="{00000000-0008-0000-04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435437" y="1544868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37</xdr:row>
      <xdr:rowOff>5194</xdr:rowOff>
    </xdr:from>
    <xdr:to>
      <xdr:col>5</xdr:col>
      <xdr:colOff>5195</xdr:colOff>
      <xdr:row>39</xdr:row>
      <xdr:rowOff>52594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id="{00000000-0008-0000-04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910320" y="17197819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35</xdr:row>
      <xdr:rowOff>10391</xdr:rowOff>
    </xdr:from>
    <xdr:to>
      <xdr:col>9</xdr:col>
      <xdr:colOff>1274619</xdr:colOff>
      <xdr:row>37</xdr:row>
      <xdr:rowOff>57791</xdr:rowOff>
    </xdr:to>
    <xdr:pic>
      <xdr:nvPicPr>
        <xdr:cNvPr id="80" name="Imagem 79">
          <a:extLst>
            <a:ext uri="{FF2B5EF4-FFF2-40B4-BE49-F238E27FC236}">
              <a16:creationId xmlns:a16="http://schemas.microsoft.com/office/drawing/2014/main" id="{00000000-0008-0000-04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437169" y="16326716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4040</xdr:colOff>
      <xdr:row>35</xdr:row>
      <xdr:rowOff>13279</xdr:rowOff>
    </xdr:from>
    <xdr:to>
      <xdr:col>5</xdr:col>
      <xdr:colOff>4040</xdr:colOff>
      <xdr:row>37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id="{00000000-0008-0000-04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909165" y="16329604"/>
          <a:ext cx="432000" cy="425649"/>
        </a:xfrm>
        <a:prstGeom prst="rect">
          <a:avLst/>
        </a:prstGeom>
      </xdr:spPr>
    </xdr:pic>
    <xdr:clientData/>
  </xdr:twoCellAnchor>
  <xdr:twoCellAnchor editAs="oneCell">
    <xdr:from>
      <xdr:col>5</xdr:col>
      <xdr:colOff>577</xdr:colOff>
      <xdr:row>36</xdr:row>
      <xdr:rowOff>9815</xdr:rowOff>
    </xdr:from>
    <xdr:to>
      <xdr:col>5</xdr:col>
      <xdr:colOff>577</xdr:colOff>
      <xdr:row>38</xdr:row>
      <xdr:rowOff>57928</xdr:rowOff>
    </xdr:to>
    <xdr:pic>
      <xdr:nvPicPr>
        <xdr:cNvPr id="82" name="Imagem 17" descr="escudo_croacia_200.png">
          <a:extLst>
            <a:ext uri="{FF2B5EF4-FFF2-40B4-BE49-F238E27FC236}">
              <a16:creationId xmlns:a16="http://schemas.microsoft.com/office/drawing/2014/main" id="{00000000-0008-0000-04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905702" y="16764290"/>
          <a:ext cx="432000" cy="429113"/>
        </a:xfrm>
        <a:prstGeom prst="rect">
          <a:avLst/>
        </a:prstGeom>
      </xdr:spPr>
    </xdr:pic>
    <xdr:clientData/>
  </xdr:twoCellAnchor>
  <xdr:twoCellAnchor editAs="oneCell">
    <xdr:from>
      <xdr:col>9</xdr:col>
      <xdr:colOff>1269975</xdr:colOff>
      <xdr:row>41</xdr:row>
      <xdr:rowOff>11706</xdr:rowOff>
    </xdr:from>
    <xdr:to>
      <xdr:col>9</xdr:col>
      <xdr:colOff>1269975</xdr:colOff>
      <xdr:row>43</xdr:row>
      <xdr:rowOff>59820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id="{00000000-0008-0000-04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432525" y="18956931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43</xdr:row>
      <xdr:rowOff>8659</xdr:rowOff>
    </xdr:from>
    <xdr:to>
      <xdr:col>9</xdr:col>
      <xdr:colOff>1272887</xdr:colOff>
      <xdr:row>45</xdr:row>
      <xdr:rowOff>56773</xdr:rowOff>
    </xdr:to>
    <xdr:pic>
      <xdr:nvPicPr>
        <xdr:cNvPr id="84" name="Imagem 65" descr="escudo_suica_200.png">
          <a:extLst>
            <a:ext uri="{FF2B5EF4-FFF2-40B4-BE49-F238E27FC236}">
              <a16:creationId xmlns:a16="http://schemas.microsoft.com/office/drawing/2014/main" id="{00000000-0008-0000-04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435437" y="19830184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38</xdr:row>
      <xdr:rowOff>8660</xdr:rowOff>
    </xdr:from>
    <xdr:to>
      <xdr:col>9</xdr:col>
      <xdr:colOff>1281545</xdr:colOff>
      <xdr:row>40</xdr:row>
      <xdr:rowOff>56060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id="{00000000-0008-0000-04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444095" y="17639435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5194</xdr:colOff>
      <xdr:row>40</xdr:row>
      <xdr:rowOff>5196</xdr:rowOff>
    </xdr:from>
    <xdr:to>
      <xdr:col>5</xdr:col>
      <xdr:colOff>5194</xdr:colOff>
      <xdr:row>42</xdr:row>
      <xdr:rowOff>52596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id="{00000000-0008-0000-04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910319" y="18512271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1730</xdr:colOff>
      <xdr:row>42</xdr:row>
      <xdr:rowOff>10392</xdr:rowOff>
    </xdr:from>
    <xdr:to>
      <xdr:col>5</xdr:col>
      <xdr:colOff>1730</xdr:colOff>
      <xdr:row>44</xdr:row>
      <xdr:rowOff>57792</xdr:rowOff>
    </xdr:to>
    <xdr:pic>
      <xdr:nvPicPr>
        <xdr:cNvPr id="87" name="Imagem 86">
          <a:extLst>
            <a:ext uri="{FF2B5EF4-FFF2-40B4-BE49-F238E27FC236}">
              <a16:creationId xmlns:a16="http://schemas.microsoft.com/office/drawing/2014/main" id="{00000000-0008-0000-04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906855" y="19393767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8658</xdr:colOff>
      <xdr:row>47</xdr:row>
      <xdr:rowOff>13279</xdr:rowOff>
    </xdr:from>
    <xdr:to>
      <xdr:col>5</xdr:col>
      <xdr:colOff>8658</xdr:colOff>
      <xdr:row>49</xdr:row>
      <xdr:rowOff>57929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id="{00000000-0008-0000-04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913783" y="21587404"/>
          <a:ext cx="432000" cy="4256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48</xdr:row>
      <xdr:rowOff>8659</xdr:rowOff>
    </xdr:from>
    <xdr:to>
      <xdr:col>9</xdr:col>
      <xdr:colOff>1272887</xdr:colOff>
      <xdr:row>50</xdr:row>
      <xdr:rowOff>56773</xdr:rowOff>
    </xdr:to>
    <xdr:pic>
      <xdr:nvPicPr>
        <xdr:cNvPr id="89" name="Imagem 90" descr="escudo_portugal_200.png">
          <a:extLst>
            <a:ext uri="{FF2B5EF4-FFF2-40B4-BE49-F238E27FC236}">
              <a16:creationId xmlns:a16="http://schemas.microsoft.com/office/drawing/2014/main" id="{00000000-0008-0000-04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435437" y="22020934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39</xdr:row>
      <xdr:rowOff>8659</xdr:rowOff>
    </xdr:from>
    <xdr:to>
      <xdr:col>5</xdr:col>
      <xdr:colOff>8659</xdr:colOff>
      <xdr:row>41</xdr:row>
      <xdr:rowOff>56059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id="{00000000-0008-0000-04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913784" y="1807758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41</xdr:row>
      <xdr:rowOff>5196</xdr:rowOff>
    </xdr:from>
    <xdr:to>
      <xdr:col>5</xdr:col>
      <xdr:colOff>5195</xdr:colOff>
      <xdr:row>43</xdr:row>
      <xdr:rowOff>52596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id="{00000000-0008-0000-04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910320" y="18950421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42</xdr:row>
      <xdr:rowOff>10391</xdr:rowOff>
    </xdr:from>
    <xdr:to>
      <xdr:col>9</xdr:col>
      <xdr:colOff>1274618</xdr:colOff>
      <xdr:row>44</xdr:row>
      <xdr:rowOff>57791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id="{00000000-0008-0000-04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437168" y="19393766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39</xdr:row>
      <xdr:rowOff>8660</xdr:rowOff>
    </xdr:from>
    <xdr:to>
      <xdr:col>9</xdr:col>
      <xdr:colOff>1290205</xdr:colOff>
      <xdr:row>41</xdr:row>
      <xdr:rowOff>56060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id="{00000000-0008-0000-04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452755" y="18077585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40</xdr:row>
      <xdr:rowOff>5196</xdr:rowOff>
    </xdr:from>
    <xdr:to>
      <xdr:col>9</xdr:col>
      <xdr:colOff>1278083</xdr:colOff>
      <xdr:row>42</xdr:row>
      <xdr:rowOff>52596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id="{00000000-0008-0000-04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440633" y="18512271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43</xdr:row>
      <xdr:rowOff>8659</xdr:rowOff>
    </xdr:from>
    <xdr:to>
      <xdr:col>5</xdr:col>
      <xdr:colOff>0</xdr:colOff>
      <xdr:row>45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id="{00000000-0008-0000-04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905125" y="19830184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46</xdr:row>
      <xdr:rowOff>8659</xdr:rowOff>
    </xdr:from>
    <xdr:to>
      <xdr:col>5</xdr:col>
      <xdr:colOff>0</xdr:colOff>
      <xdr:row>48</xdr:row>
      <xdr:rowOff>56059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id="{00000000-0008-0000-04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905125" y="2114463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44</xdr:row>
      <xdr:rowOff>5195</xdr:rowOff>
    </xdr:from>
    <xdr:to>
      <xdr:col>9</xdr:col>
      <xdr:colOff>1278082</xdr:colOff>
      <xdr:row>46</xdr:row>
      <xdr:rowOff>52595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id="{00000000-0008-0000-04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440632" y="20264870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48</xdr:row>
      <xdr:rowOff>8659</xdr:rowOff>
    </xdr:from>
    <xdr:to>
      <xdr:col>5</xdr:col>
      <xdr:colOff>0</xdr:colOff>
      <xdr:row>50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id="{00000000-0008-0000-04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905125" y="2202093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45</xdr:row>
      <xdr:rowOff>8659</xdr:rowOff>
    </xdr:from>
    <xdr:to>
      <xdr:col>9</xdr:col>
      <xdr:colOff>1281546</xdr:colOff>
      <xdr:row>47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id="{00000000-0008-0000-04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444096" y="20706484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46</xdr:row>
      <xdr:rowOff>8659</xdr:rowOff>
    </xdr:from>
    <xdr:to>
      <xdr:col>9</xdr:col>
      <xdr:colOff>1281545</xdr:colOff>
      <xdr:row>48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id="{00000000-0008-0000-04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444095" y="21144634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49</xdr:row>
      <xdr:rowOff>8659</xdr:rowOff>
    </xdr:from>
    <xdr:to>
      <xdr:col>5</xdr:col>
      <xdr:colOff>0</xdr:colOff>
      <xdr:row>73</xdr:row>
      <xdr:rowOff>56059</xdr:rowOff>
    </xdr:to>
    <xdr:pic>
      <xdr:nvPicPr>
        <xdr:cNvPr id="101" name="Imagem 100">
          <a:extLst>
            <a:ext uri="{FF2B5EF4-FFF2-40B4-BE49-F238E27FC236}">
              <a16:creationId xmlns:a16="http://schemas.microsoft.com/office/drawing/2014/main" id="{00000000-0008-0000-0400-00006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905125" y="22459084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155864</xdr:colOff>
      <xdr:row>0</xdr:row>
      <xdr:rowOff>0</xdr:rowOff>
    </xdr:from>
    <xdr:to>
      <xdr:col>5</xdr:col>
      <xdr:colOff>155864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id="{00000000-0008-0000-04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3060989" y="589685"/>
          <a:ext cx="380952" cy="382684"/>
        </a:xfrm>
        <a:prstGeom prst="rect">
          <a:avLst/>
        </a:prstGeom>
      </xdr:spPr>
    </xdr:pic>
    <xdr:clientData/>
  </xdr:twoCellAnchor>
  <xdr:twoCellAnchor editAs="oneCell">
    <xdr:from>
      <xdr:col>5</xdr:col>
      <xdr:colOff>158659</xdr:colOff>
      <xdr:row>0</xdr:row>
      <xdr:rowOff>0</xdr:rowOff>
    </xdr:from>
    <xdr:to>
      <xdr:col>5</xdr:col>
      <xdr:colOff>158659</xdr:colOff>
      <xdr:row>2</xdr:row>
      <xdr:rowOff>11209</xdr:rowOff>
    </xdr:to>
    <xdr:pic>
      <xdr:nvPicPr>
        <xdr:cNvPr id="103" name="Imagem 102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id="{00000000-0008-0000-04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3063784" y="114496"/>
          <a:ext cx="380952" cy="382684"/>
        </a:xfrm>
        <a:prstGeom prst="rect">
          <a:avLst/>
        </a:prstGeom>
      </xdr:spPr>
    </xdr:pic>
    <xdr:clientData/>
  </xdr:twoCellAnchor>
  <xdr:twoCellAnchor editAs="oneCell">
    <xdr:from>
      <xdr:col>5</xdr:col>
      <xdr:colOff>161455</xdr:colOff>
      <xdr:row>0</xdr:row>
      <xdr:rowOff>0</xdr:rowOff>
    </xdr:from>
    <xdr:to>
      <xdr:col>5</xdr:col>
      <xdr:colOff>161455</xdr:colOff>
      <xdr:row>1</xdr:row>
      <xdr:rowOff>167948</xdr:rowOff>
    </xdr:to>
    <xdr:pic>
      <xdr:nvPicPr>
        <xdr:cNvPr id="104" name="Imagem 103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id="{00000000-0008-0000-04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3066580" y="1108759"/>
          <a:ext cx="380952" cy="30129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9525</xdr:colOff>
      <xdr:row>75</xdr:row>
      <xdr:rowOff>19050</xdr:rowOff>
    </xdr:from>
    <xdr:to>
      <xdr:col>11</xdr:col>
      <xdr:colOff>9525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1271732</xdr:colOff>
      <xdr:row>32</xdr:row>
      <xdr:rowOff>8083</xdr:rowOff>
    </xdr:from>
    <xdr:to>
      <xdr:col>9</xdr:col>
      <xdr:colOff>1271732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5</xdr:col>
      <xdr:colOff>16164</xdr:colOff>
      <xdr:row>17</xdr:row>
      <xdr:rowOff>12122</xdr:rowOff>
    </xdr:from>
    <xdr:to>
      <xdr:col>5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1094510</xdr:colOff>
      <xdr:row>14</xdr:row>
      <xdr:rowOff>20782</xdr:rowOff>
    </xdr:from>
    <xdr:to>
      <xdr:col>4</xdr:col>
      <xdr:colOff>1094510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8</xdr:row>
      <xdr:rowOff>12124</xdr:rowOff>
    </xdr:from>
    <xdr:to>
      <xdr:col>9</xdr:col>
      <xdr:colOff>1285010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29</xdr:row>
      <xdr:rowOff>12700</xdr:rowOff>
    </xdr:from>
    <xdr:to>
      <xdr:col>9</xdr:col>
      <xdr:colOff>1285010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3463</xdr:colOff>
      <xdr:row>26</xdr:row>
      <xdr:rowOff>17319</xdr:rowOff>
    </xdr:from>
    <xdr:to>
      <xdr:col>5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12122</xdr:colOff>
      <xdr:row>45</xdr:row>
      <xdr:rowOff>16742</xdr:rowOff>
    </xdr:from>
    <xdr:to>
      <xdr:col>5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3461</xdr:colOff>
      <xdr:row>32</xdr:row>
      <xdr:rowOff>12700</xdr:rowOff>
    </xdr:from>
    <xdr:to>
      <xdr:col>5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1267114</xdr:colOff>
      <xdr:row>23</xdr:row>
      <xdr:rowOff>3464</xdr:rowOff>
    </xdr:from>
    <xdr:to>
      <xdr:col>9</xdr:col>
      <xdr:colOff>1267114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11544</xdr:colOff>
      <xdr:row>22</xdr:row>
      <xdr:rowOff>12700</xdr:rowOff>
    </xdr:from>
    <xdr:to>
      <xdr:col>5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1275525</xdr:colOff>
      <xdr:row>30</xdr:row>
      <xdr:rowOff>11417</xdr:rowOff>
    </xdr:from>
    <xdr:to>
      <xdr:col>9</xdr:col>
      <xdr:colOff>1275525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9</xdr:col>
      <xdr:colOff>1266341</xdr:colOff>
      <xdr:row>18</xdr:row>
      <xdr:rowOff>9988</xdr:rowOff>
    </xdr:from>
    <xdr:to>
      <xdr:col>9</xdr:col>
      <xdr:colOff>1266341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5</xdr:col>
      <xdr:colOff>9211</xdr:colOff>
      <xdr:row>38</xdr:row>
      <xdr:rowOff>6511</xdr:rowOff>
    </xdr:from>
    <xdr:to>
      <xdr:col>5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1272957</xdr:colOff>
      <xdr:row>31</xdr:row>
      <xdr:rowOff>16935</xdr:rowOff>
    </xdr:from>
    <xdr:to>
      <xdr:col>9</xdr:col>
      <xdr:colOff>1272957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5</xdr:col>
      <xdr:colOff>858124</xdr:colOff>
      <xdr:row>0</xdr:row>
      <xdr:rowOff>0</xdr:rowOff>
    </xdr:from>
    <xdr:to>
      <xdr:col>5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3</xdr:col>
      <xdr:colOff>589597</xdr:colOff>
      <xdr:row>0</xdr:row>
      <xdr:rowOff>0</xdr:rowOff>
    </xdr:from>
    <xdr:to>
      <xdr:col>3</xdr:col>
      <xdr:colOff>351472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5</xdr:col>
      <xdr:colOff>21405</xdr:colOff>
      <xdr:row>1</xdr:row>
      <xdr:rowOff>194582</xdr:rowOff>
    </xdr:from>
    <xdr:to>
      <xdr:col>5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5</xdr:col>
      <xdr:colOff>23975</xdr:colOff>
      <xdr:row>4</xdr:row>
      <xdr:rowOff>13267</xdr:rowOff>
    </xdr:from>
    <xdr:to>
      <xdr:col>5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9</xdr:col>
      <xdr:colOff>1257302</xdr:colOff>
      <xdr:row>6</xdr:row>
      <xdr:rowOff>5134</xdr:rowOff>
    </xdr:from>
    <xdr:to>
      <xdr:col>9</xdr:col>
      <xdr:colOff>1257302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44</xdr:row>
      <xdr:rowOff>10702</xdr:rowOff>
    </xdr:from>
    <xdr:to>
      <xdr:col>5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1265434</xdr:colOff>
      <xdr:row>49</xdr:row>
      <xdr:rowOff>2567</xdr:rowOff>
    </xdr:from>
    <xdr:to>
      <xdr:col>9</xdr:col>
      <xdr:colOff>1265434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9</xdr:col>
      <xdr:colOff>1268002</xdr:colOff>
      <xdr:row>47</xdr:row>
      <xdr:rowOff>15839</xdr:rowOff>
    </xdr:from>
    <xdr:to>
      <xdr:col>9</xdr:col>
      <xdr:colOff>1268002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1376016</xdr:colOff>
      <xdr:row>2</xdr:row>
      <xdr:rowOff>4087</xdr:rowOff>
    </xdr:from>
    <xdr:to>
      <xdr:col>9</xdr:col>
      <xdr:colOff>1376016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9</xdr:col>
      <xdr:colOff>1346576</xdr:colOff>
      <xdr:row>5</xdr:row>
      <xdr:rowOff>9282</xdr:rowOff>
    </xdr:from>
    <xdr:to>
      <xdr:col>9</xdr:col>
      <xdr:colOff>1346576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5</xdr:col>
      <xdr:colOff>44248</xdr:colOff>
      <xdr:row>7</xdr:row>
      <xdr:rowOff>5818</xdr:rowOff>
    </xdr:from>
    <xdr:to>
      <xdr:col>5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</xdr:row>
      <xdr:rowOff>8659</xdr:rowOff>
    </xdr:from>
    <xdr:to>
      <xdr:col>5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</xdr:row>
      <xdr:rowOff>13854</xdr:rowOff>
    </xdr:from>
    <xdr:to>
      <xdr:col>9</xdr:col>
      <xdr:colOff>1278082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1265959</xdr:colOff>
      <xdr:row>7</xdr:row>
      <xdr:rowOff>1731</xdr:rowOff>
    </xdr:from>
    <xdr:to>
      <xdr:col>9</xdr:col>
      <xdr:colOff>1265959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3</xdr:row>
      <xdr:rowOff>8658</xdr:rowOff>
    </xdr:from>
    <xdr:to>
      <xdr:col>9</xdr:col>
      <xdr:colOff>1290206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1096242</xdr:colOff>
      <xdr:row>5</xdr:row>
      <xdr:rowOff>13854</xdr:rowOff>
    </xdr:from>
    <xdr:to>
      <xdr:col>4</xdr:col>
      <xdr:colOff>1096242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1092778</xdr:colOff>
      <xdr:row>6</xdr:row>
      <xdr:rowOff>10390</xdr:rowOff>
    </xdr:from>
    <xdr:to>
      <xdr:col>4</xdr:col>
      <xdr:colOff>1092778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8</xdr:row>
      <xdr:rowOff>0</xdr:rowOff>
    </xdr:from>
    <xdr:to>
      <xdr:col>5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11</xdr:row>
      <xdr:rowOff>13854</xdr:rowOff>
    </xdr:from>
    <xdr:to>
      <xdr:col>5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12</xdr:row>
      <xdr:rowOff>10390</xdr:rowOff>
    </xdr:from>
    <xdr:to>
      <xdr:col>9</xdr:col>
      <xdr:colOff>1274619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10</xdr:row>
      <xdr:rowOff>17319</xdr:rowOff>
    </xdr:from>
    <xdr:to>
      <xdr:col>9</xdr:col>
      <xdr:colOff>1290206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1087583</xdr:colOff>
      <xdr:row>13</xdr:row>
      <xdr:rowOff>13855</xdr:rowOff>
    </xdr:from>
    <xdr:to>
      <xdr:col>4</xdr:col>
      <xdr:colOff>1087583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9</xdr:row>
      <xdr:rowOff>0</xdr:rowOff>
    </xdr:from>
    <xdr:to>
      <xdr:col>5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13</xdr:row>
      <xdr:rowOff>13855</xdr:rowOff>
    </xdr:from>
    <xdr:to>
      <xdr:col>9</xdr:col>
      <xdr:colOff>1278083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1283278</xdr:colOff>
      <xdr:row>11</xdr:row>
      <xdr:rowOff>19050</xdr:rowOff>
    </xdr:from>
    <xdr:to>
      <xdr:col>9</xdr:col>
      <xdr:colOff>1283278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9</xdr:row>
      <xdr:rowOff>8660</xdr:rowOff>
    </xdr:from>
    <xdr:to>
      <xdr:col>9</xdr:col>
      <xdr:colOff>1272886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05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10</xdr:row>
      <xdr:rowOff>13855</xdr:rowOff>
    </xdr:from>
    <xdr:to>
      <xdr:col>5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00000000-0008-0000-05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12</xdr:row>
      <xdr:rowOff>19051</xdr:rowOff>
    </xdr:from>
    <xdr:to>
      <xdr:col>5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id="{00000000-0008-0000-05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1272885</xdr:colOff>
      <xdr:row>14</xdr:row>
      <xdr:rowOff>0</xdr:rowOff>
    </xdr:from>
    <xdr:to>
      <xdr:col>9</xdr:col>
      <xdr:colOff>1272885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00000000-0008-0000-05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1269421</xdr:colOff>
      <xdr:row>16</xdr:row>
      <xdr:rowOff>5195</xdr:rowOff>
    </xdr:from>
    <xdr:to>
      <xdr:col>9</xdr:col>
      <xdr:colOff>1269421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00000000-0008-0000-05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10389</xdr:colOff>
      <xdr:row>19</xdr:row>
      <xdr:rowOff>1731</xdr:rowOff>
    </xdr:from>
    <xdr:to>
      <xdr:col>5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id="{00000000-0008-0000-05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15</xdr:row>
      <xdr:rowOff>0</xdr:rowOff>
    </xdr:from>
    <xdr:to>
      <xdr:col>5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00000000-0008-0000-05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1269424</xdr:colOff>
      <xdr:row>17</xdr:row>
      <xdr:rowOff>5196</xdr:rowOff>
    </xdr:from>
    <xdr:to>
      <xdr:col>9</xdr:col>
      <xdr:colOff>1269424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id="{00000000-0008-0000-05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19</xdr:row>
      <xdr:rowOff>10392</xdr:rowOff>
    </xdr:from>
    <xdr:to>
      <xdr:col>9</xdr:col>
      <xdr:colOff>1274619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id="{00000000-0008-0000-05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15</xdr:row>
      <xdr:rowOff>8659</xdr:rowOff>
    </xdr:from>
    <xdr:to>
      <xdr:col>9</xdr:col>
      <xdr:colOff>1281546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05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16</xdr:row>
      <xdr:rowOff>5196</xdr:rowOff>
    </xdr:from>
    <xdr:to>
      <xdr:col>4</xdr:col>
      <xdr:colOff>1096241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00000000-0008-0000-05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18</xdr:row>
      <xdr:rowOff>10391</xdr:rowOff>
    </xdr:from>
    <xdr:to>
      <xdr:col>5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id="{00000000-0008-0000-05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21</xdr:row>
      <xdr:rowOff>0</xdr:rowOff>
    </xdr:from>
    <xdr:to>
      <xdr:col>5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0000000-0008-0000-05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23</xdr:row>
      <xdr:rowOff>5196</xdr:rowOff>
    </xdr:from>
    <xdr:to>
      <xdr:col>5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05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1265960</xdr:colOff>
      <xdr:row>24</xdr:row>
      <xdr:rowOff>10392</xdr:rowOff>
    </xdr:from>
    <xdr:to>
      <xdr:col>9</xdr:col>
      <xdr:colOff>1265960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00000000-0008-0000-05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1264227</xdr:colOff>
      <xdr:row>21</xdr:row>
      <xdr:rowOff>17318</xdr:rowOff>
    </xdr:from>
    <xdr:to>
      <xdr:col>9</xdr:col>
      <xdr:colOff>1264227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id="{00000000-0008-0000-05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1269422</xdr:colOff>
      <xdr:row>22</xdr:row>
      <xdr:rowOff>5196</xdr:rowOff>
    </xdr:from>
    <xdr:to>
      <xdr:col>9</xdr:col>
      <xdr:colOff>1269422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05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25</xdr:row>
      <xdr:rowOff>1732</xdr:rowOff>
    </xdr:from>
    <xdr:to>
      <xdr:col>5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00000000-0008-0000-05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1263651</xdr:colOff>
      <xdr:row>25</xdr:row>
      <xdr:rowOff>1</xdr:rowOff>
    </xdr:from>
    <xdr:to>
      <xdr:col>9</xdr:col>
      <xdr:colOff>1263651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id="{00000000-0008-0000-05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4619</xdr:colOff>
      <xdr:row>20</xdr:row>
      <xdr:rowOff>5195</xdr:rowOff>
    </xdr:from>
    <xdr:to>
      <xdr:col>5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id="{00000000-0008-0000-05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1272308</xdr:colOff>
      <xdr:row>20</xdr:row>
      <xdr:rowOff>9236</xdr:rowOff>
    </xdr:from>
    <xdr:to>
      <xdr:col>9</xdr:col>
      <xdr:colOff>1272308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id="{00000000-0008-0000-05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4617</xdr:colOff>
      <xdr:row>24</xdr:row>
      <xdr:rowOff>5773</xdr:rowOff>
    </xdr:from>
    <xdr:to>
      <xdr:col>5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id="{00000000-0008-0000-05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27</xdr:row>
      <xdr:rowOff>17318</xdr:rowOff>
    </xdr:from>
    <xdr:to>
      <xdr:col>5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id="{00000000-0008-0000-05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29</xdr:row>
      <xdr:rowOff>17318</xdr:rowOff>
    </xdr:from>
    <xdr:to>
      <xdr:col>5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id="{00000000-0008-0000-05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28</xdr:row>
      <xdr:rowOff>8659</xdr:rowOff>
    </xdr:from>
    <xdr:to>
      <xdr:col>5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30</xdr:row>
      <xdr:rowOff>13855</xdr:rowOff>
    </xdr:from>
    <xdr:to>
      <xdr:col>4</xdr:col>
      <xdr:colOff>1096241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id="{00000000-0008-0000-05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26</xdr:row>
      <xdr:rowOff>1732</xdr:rowOff>
    </xdr:from>
    <xdr:to>
      <xdr:col>9</xdr:col>
      <xdr:colOff>1274618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id="{00000000-0008-0000-05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27</xdr:row>
      <xdr:rowOff>8659</xdr:rowOff>
    </xdr:from>
    <xdr:to>
      <xdr:col>9</xdr:col>
      <xdr:colOff>1272886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id="{00000000-0008-0000-05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28</xdr:row>
      <xdr:rowOff>13854</xdr:rowOff>
    </xdr:from>
    <xdr:to>
      <xdr:col>9</xdr:col>
      <xdr:colOff>1278081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id="{00000000-0008-0000-05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31</xdr:row>
      <xdr:rowOff>8659</xdr:rowOff>
    </xdr:from>
    <xdr:to>
      <xdr:col>5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id="{00000000-0008-0000-05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1281544</xdr:colOff>
      <xdr:row>34</xdr:row>
      <xdr:rowOff>17895</xdr:rowOff>
    </xdr:from>
    <xdr:to>
      <xdr:col>9</xdr:col>
      <xdr:colOff>1281544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id="{00000000-0008-0000-05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37</xdr:row>
      <xdr:rowOff>8659</xdr:rowOff>
    </xdr:from>
    <xdr:to>
      <xdr:col>9</xdr:col>
      <xdr:colOff>1290205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id="{00000000-0008-0000-05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34</xdr:row>
      <xdr:rowOff>8658</xdr:rowOff>
    </xdr:from>
    <xdr:to>
      <xdr:col>5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id="{00000000-0008-0000-05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36</xdr:row>
      <xdr:rowOff>5195</xdr:rowOff>
    </xdr:from>
    <xdr:to>
      <xdr:col>9</xdr:col>
      <xdr:colOff>1278081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id="{00000000-0008-0000-05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33</xdr:row>
      <xdr:rowOff>10391</xdr:rowOff>
    </xdr:from>
    <xdr:to>
      <xdr:col>5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id="{00000000-0008-0000-05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33</xdr:row>
      <xdr:rowOff>8659</xdr:rowOff>
    </xdr:from>
    <xdr:to>
      <xdr:col>9</xdr:col>
      <xdr:colOff>1272887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id="{00000000-0008-0000-05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37</xdr:row>
      <xdr:rowOff>5194</xdr:rowOff>
    </xdr:from>
    <xdr:to>
      <xdr:col>5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id="{00000000-0008-0000-05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35</xdr:row>
      <xdr:rowOff>10391</xdr:rowOff>
    </xdr:from>
    <xdr:to>
      <xdr:col>9</xdr:col>
      <xdr:colOff>1274619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id="{00000000-0008-0000-05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4040</xdr:colOff>
      <xdr:row>35</xdr:row>
      <xdr:rowOff>13279</xdr:rowOff>
    </xdr:from>
    <xdr:to>
      <xdr:col>5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id="{00000000-0008-0000-05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5</xdr:col>
      <xdr:colOff>577</xdr:colOff>
      <xdr:row>36</xdr:row>
      <xdr:rowOff>9815</xdr:rowOff>
    </xdr:from>
    <xdr:to>
      <xdr:col>5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id="{00000000-0008-0000-05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9</xdr:col>
      <xdr:colOff>1269975</xdr:colOff>
      <xdr:row>41</xdr:row>
      <xdr:rowOff>11706</xdr:rowOff>
    </xdr:from>
    <xdr:to>
      <xdr:col>9</xdr:col>
      <xdr:colOff>1269975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id="{00000000-0008-0000-05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43</xdr:row>
      <xdr:rowOff>8659</xdr:rowOff>
    </xdr:from>
    <xdr:to>
      <xdr:col>9</xdr:col>
      <xdr:colOff>1272887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id="{00000000-0008-0000-05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38</xdr:row>
      <xdr:rowOff>8660</xdr:rowOff>
    </xdr:from>
    <xdr:to>
      <xdr:col>9</xdr:col>
      <xdr:colOff>1281545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id="{00000000-0008-0000-05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5194</xdr:colOff>
      <xdr:row>40</xdr:row>
      <xdr:rowOff>5196</xdr:rowOff>
    </xdr:from>
    <xdr:to>
      <xdr:col>5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id="{00000000-0008-0000-05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1730</xdr:colOff>
      <xdr:row>42</xdr:row>
      <xdr:rowOff>10392</xdr:rowOff>
    </xdr:from>
    <xdr:to>
      <xdr:col>5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id="{00000000-0008-0000-05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8658</xdr:colOff>
      <xdr:row>47</xdr:row>
      <xdr:rowOff>13279</xdr:rowOff>
    </xdr:from>
    <xdr:to>
      <xdr:col>5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id="{00000000-0008-0000-05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48</xdr:row>
      <xdr:rowOff>8659</xdr:rowOff>
    </xdr:from>
    <xdr:to>
      <xdr:col>9</xdr:col>
      <xdr:colOff>1272887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id="{00000000-0008-0000-05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39</xdr:row>
      <xdr:rowOff>8659</xdr:rowOff>
    </xdr:from>
    <xdr:to>
      <xdr:col>5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id="{00000000-0008-0000-05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41</xdr:row>
      <xdr:rowOff>5196</xdr:rowOff>
    </xdr:from>
    <xdr:to>
      <xdr:col>5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id="{00000000-0008-0000-05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42</xdr:row>
      <xdr:rowOff>10391</xdr:rowOff>
    </xdr:from>
    <xdr:to>
      <xdr:col>9</xdr:col>
      <xdr:colOff>1274618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id="{00000000-0008-0000-05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39</xdr:row>
      <xdr:rowOff>8660</xdr:rowOff>
    </xdr:from>
    <xdr:to>
      <xdr:col>9</xdr:col>
      <xdr:colOff>1290205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id="{00000000-0008-0000-05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40</xdr:row>
      <xdr:rowOff>5196</xdr:rowOff>
    </xdr:from>
    <xdr:to>
      <xdr:col>9</xdr:col>
      <xdr:colOff>1278083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id="{00000000-0008-0000-05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43</xdr:row>
      <xdr:rowOff>8659</xdr:rowOff>
    </xdr:from>
    <xdr:to>
      <xdr:col>5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id="{00000000-0008-0000-05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46</xdr:row>
      <xdr:rowOff>8659</xdr:rowOff>
    </xdr:from>
    <xdr:to>
      <xdr:col>5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id="{00000000-0008-0000-05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44</xdr:row>
      <xdr:rowOff>5195</xdr:rowOff>
    </xdr:from>
    <xdr:to>
      <xdr:col>9</xdr:col>
      <xdr:colOff>1278082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id="{00000000-0008-0000-05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48</xdr:row>
      <xdr:rowOff>8659</xdr:rowOff>
    </xdr:from>
    <xdr:to>
      <xdr:col>5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id="{00000000-0008-0000-05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45</xdr:row>
      <xdr:rowOff>8659</xdr:rowOff>
    </xdr:from>
    <xdr:to>
      <xdr:col>9</xdr:col>
      <xdr:colOff>1281546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id="{00000000-0008-0000-05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46</xdr:row>
      <xdr:rowOff>8659</xdr:rowOff>
    </xdr:from>
    <xdr:to>
      <xdr:col>9</xdr:col>
      <xdr:colOff>1281545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id="{00000000-0008-0000-05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49</xdr:row>
      <xdr:rowOff>8659</xdr:rowOff>
    </xdr:from>
    <xdr:to>
      <xdr:col>5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id="{00000000-0008-0000-05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5</xdr:col>
      <xdr:colOff>155864</xdr:colOff>
      <xdr:row>0</xdr:row>
      <xdr:rowOff>0</xdr:rowOff>
    </xdr:from>
    <xdr:to>
      <xdr:col>5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id="{00000000-0008-0000-05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158659</xdr:colOff>
      <xdr:row>0</xdr:row>
      <xdr:rowOff>0</xdr:rowOff>
    </xdr:from>
    <xdr:to>
      <xdr:col>5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id="{00000000-0008-0000-05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161455</xdr:colOff>
      <xdr:row>0</xdr:row>
      <xdr:rowOff>0</xdr:rowOff>
    </xdr:from>
    <xdr:to>
      <xdr:col>5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id="{00000000-0008-0000-05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9525</xdr:colOff>
      <xdr:row>75</xdr:row>
      <xdr:rowOff>19050</xdr:rowOff>
    </xdr:from>
    <xdr:to>
      <xdr:col>11</xdr:col>
      <xdr:colOff>9525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1271732</xdr:colOff>
      <xdr:row>32</xdr:row>
      <xdr:rowOff>8083</xdr:rowOff>
    </xdr:from>
    <xdr:to>
      <xdr:col>9</xdr:col>
      <xdr:colOff>1271732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5</xdr:col>
      <xdr:colOff>16164</xdr:colOff>
      <xdr:row>17</xdr:row>
      <xdr:rowOff>12122</xdr:rowOff>
    </xdr:from>
    <xdr:to>
      <xdr:col>5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1094510</xdr:colOff>
      <xdr:row>14</xdr:row>
      <xdr:rowOff>20782</xdr:rowOff>
    </xdr:from>
    <xdr:to>
      <xdr:col>4</xdr:col>
      <xdr:colOff>1094510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8</xdr:row>
      <xdr:rowOff>12124</xdr:rowOff>
    </xdr:from>
    <xdr:to>
      <xdr:col>9</xdr:col>
      <xdr:colOff>1285010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29</xdr:row>
      <xdr:rowOff>12700</xdr:rowOff>
    </xdr:from>
    <xdr:to>
      <xdr:col>9</xdr:col>
      <xdr:colOff>1285010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3463</xdr:colOff>
      <xdr:row>26</xdr:row>
      <xdr:rowOff>17319</xdr:rowOff>
    </xdr:from>
    <xdr:to>
      <xdr:col>5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12122</xdr:colOff>
      <xdr:row>45</xdr:row>
      <xdr:rowOff>16742</xdr:rowOff>
    </xdr:from>
    <xdr:to>
      <xdr:col>5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3461</xdr:colOff>
      <xdr:row>32</xdr:row>
      <xdr:rowOff>12700</xdr:rowOff>
    </xdr:from>
    <xdr:to>
      <xdr:col>5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1267114</xdr:colOff>
      <xdr:row>23</xdr:row>
      <xdr:rowOff>3464</xdr:rowOff>
    </xdr:from>
    <xdr:to>
      <xdr:col>9</xdr:col>
      <xdr:colOff>1267114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11544</xdr:colOff>
      <xdr:row>22</xdr:row>
      <xdr:rowOff>12700</xdr:rowOff>
    </xdr:from>
    <xdr:to>
      <xdr:col>5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1275525</xdr:colOff>
      <xdr:row>30</xdr:row>
      <xdr:rowOff>11417</xdr:rowOff>
    </xdr:from>
    <xdr:to>
      <xdr:col>9</xdr:col>
      <xdr:colOff>1275525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9</xdr:col>
      <xdr:colOff>1266341</xdr:colOff>
      <xdr:row>18</xdr:row>
      <xdr:rowOff>9988</xdr:rowOff>
    </xdr:from>
    <xdr:to>
      <xdr:col>9</xdr:col>
      <xdr:colOff>1266341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5</xdr:col>
      <xdr:colOff>9211</xdr:colOff>
      <xdr:row>38</xdr:row>
      <xdr:rowOff>6511</xdr:rowOff>
    </xdr:from>
    <xdr:to>
      <xdr:col>5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1272957</xdr:colOff>
      <xdr:row>31</xdr:row>
      <xdr:rowOff>16935</xdr:rowOff>
    </xdr:from>
    <xdr:to>
      <xdr:col>9</xdr:col>
      <xdr:colOff>1272957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5</xdr:col>
      <xdr:colOff>858124</xdr:colOff>
      <xdr:row>0</xdr:row>
      <xdr:rowOff>0</xdr:rowOff>
    </xdr:from>
    <xdr:to>
      <xdr:col>5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3</xdr:col>
      <xdr:colOff>589597</xdr:colOff>
      <xdr:row>0</xdr:row>
      <xdr:rowOff>0</xdr:rowOff>
    </xdr:from>
    <xdr:to>
      <xdr:col>3</xdr:col>
      <xdr:colOff>351472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5</xdr:col>
      <xdr:colOff>21405</xdr:colOff>
      <xdr:row>1</xdr:row>
      <xdr:rowOff>194582</xdr:rowOff>
    </xdr:from>
    <xdr:to>
      <xdr:col>5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5</xdr:col>
      <xdr:colOff>23975</xdr:colOff>
      <xdr:row>4</xdr:row>
      <xdr:rowOff>13267</xdr:rowOff>
    </xdr:from>
    <xdr:to>
      <xdr:col>5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9</xdr:col>
      <xdr:colOff>1257302</xdr:colOff>
      <xdr:row>6</xdr:row>
      <xdr:rowOff>5134</xdr:rowOff>
    </xdr:from>
    <xdr:to>
      <xdr:col>9</xdr:col>
      <xdr:colOff>1257302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44</xdr:row>
      <xdr:rowOff>10702</xdr:rowOff>
    </xdr:from>
    <xdr:to>
      <xdr:col>5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1265434</xdr:colOff>
      <xdr:row>49</xdr:row>
      <xdr:rowOff>2567</xdr:rowOff>
    </xdr:from>
    <xdr:to>
      <xdr:col>9</xdr:col>
      <xdr:colOff>1265434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9</xdr:col>
      <xdr:colOff>1268002</xdr:colOff>
      <xdr:row>47</xdr:row>
      <xdr:rowOff>15839</xdr:rowOff>
    </xdr:from>
    <xdr:to>
      <xdr:col>9</xdr:col>
      <xdr:colOff>1268002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1376016</xdr:colOff>
      <xdr:row>2</xdr:row>
      <xdr:rowOff>4087</xdr:rowOff>
    </xdr:from>
    <xdr:to>
      <xdr:col>9</xdr:col>
      <xdr:colOff>1376016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9</xdr:col>
      <xdr:colOff>1346576</xdr:colOff>
      <xdr:row>5</xdr:row>
      <xdr:rowOff>9282</xdr:rowOff>
    </xdr:from>
    <xdr:to>
      <xdr:col>9</xdr:col>
      <xdr:colOff>1346576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5</xdr:col>
      <xdr:colOff>44248</xdr:colOff>
      <xdr:row>7</xdr:row>
      <xdr:rowOff>5818</xdr:rowOff>
    </xdr:from>
    <xdr:to>
      <xdr:col>5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</xdr:row>
      <xdr:rowOff>8659</xdr:rowOff>
    </xdr:from>
    <xdr:to>
      <xdr:col>5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</xdr:row>
      <xdr:rowOff>13854</xdr:rowOff>
    </xdr:from>
    <xdr:to>
      <xdr:col>9</xdr:col>
      <xdr:colOff>1278082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1265959</xdr:colOff>
      <xdr:row>7</xdr:row>
      <xdr:rowOff>1731</xdr:rowOff>
    </xdr:from>
    <xdr:to>
      <xdr:col>9</xdr:col>
      <xdr:colOff>1265959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3</xdr:row>
      <xdr:rowOff>8658</xdr:rowOff>
    </xdr:from>
    <xdr:to>
      <xdr:col>9</xdr:col>
      <xdr:colOff>1290206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1096242</xdr:colOff>
      <xdr:row>5</xdr:row>
      <xdr:rowOff>13854</xdr:rowOff>
    </xdr:from>
    <xdr:to>
      <xdr:col>4</xdr:col>
      <xdr:colOff>1096242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id="{00000000-0008-0000-06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1092778</xdr:colOff>
      <xdr:row>6</xdr:row>
      <xdr:rowOff>10390</xdr:rowOff>
    </xdr:from>
    <xdr:to>
      <xdr:col>4</xdr:col>
      <xdr:colOff>1092778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8</xdr:row>
      <xdr:rowOff>0</xdr:rowOff>
    </xdr:from>
    <xdr:to>
      <xdr:col>5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00000000-0008-0000-06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11</xdr:row>
      <xdr:rowOff>13854</xdr:rowOff>
    </xdr:from>
    <xdr:to>
      <xdr:col>5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00000000-0008-0000-06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12</xdr:row>
      <xdr:rowOff>10390</xdr:rowOff>
    </xdr:from>
    <xdr:to>
      <xdr:col>9</xdr:col>
      <xdr:colOff>1274619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10</xdr:row>
      <xdr:rowOff>17319</xdr:rowOff>
    </xdr:from>
    <xdr:to>
      <xdr:col>9</xdr:col>
      <xdr:colOff>1290206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id="{00000000-0008-0000-06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1087583</xdr:colOff>
      <xdr:row>13</xdr:row>
      <xdr:rowOff>13855</xdr:rowOff>
    </xdr:from>
    <xdr:to>
      <xdr:col>4</xdr:col>
      <xdr:colOff>1087583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id="{00000000-0008-0000-06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9</xdr:row>
      <xdr:rowOff>0</xdr:rowOff>
    </xdr:from>
    <xdr:to>
      <xdr:col>5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13</xdr:row>
      <xdr:rowOff>13855</xdr:rowOff>
    </xdr:from>
    <xdr:to>
      <xdr:col>9</xdr:col>
      <xdr:colOff>1278083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06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1283278</xdr:colOff>
      <xdr:row>11</xdr:row>
      <xdr:rowOff>19050</xdr:rowOff>
    </xdr:from>
    <xdr:to>
      <xdr:col>9</xdr:col>
      <xdr:colOff>1283278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9</xdr:row>
      <xdr:rowOff>8660</xdr:rowOff>
    </xdr:from>
    <xdr:to>
      <xdr:col>9</xdr:col>
      <xdr:colOff>1272886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10</xdr:row>
      <xdr:rowOff>13855</xdr:rowOff>
    </xdr:from>
    <xdr:to>
      <xdr:col>5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12</xdr:row>
      <xdr:rowOff>19051</xdr:rowOff>
    </xdr:from>
    <xdr:to>
      <xdr:col>5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id="{00000000-0008-0000-06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1272885</xdr:colOff>
      <xdr:row>14</xdr:row>
      <xdr:rowOff>0</xdr:rowOff>
    </xdr:from>
    <xdr:to>
      <xdr:col>9</xdr:col>
      <xdr:colOff>1272885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00000000-0008-0000-06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1269421</xdr:colOff>
      <xdr:row>16</xdr:row>
      <xdr:rowOff>5195</xdr:rowOff>
    </xdr:from>
    <xdr:to>
      <xdr:col>9</xdr:col>
      <xdr:colOff>1269421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00000000-0008-0000-06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10389</xdr:colOff>
      <xdr:row>19</xdr:row>
      <xdr:rowOff>1731</xdr:rowOff>
    </xdr:from>
    <xdr:to>
      <xdr:col>5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id="{00000000-0008-0000-06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15</xdr:row>
      <xdr:rowOff>0</xdr:rowOff>
    </xdr:from>
    <xdr:to>
      <xdr:col>5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00000000-0008-0000-06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1269424</xdr:colOff>
      <xdr:row>17</xdr:row>
      <xdr:rowOff>5196</xdr:rowOff>
    </xdr:from>
    <xdr:to>
      <xdr:col>9</xdr:col>
      <xdr:colOff>1269424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id="{00000000-0008-0000-06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19</xdr:row>
      <xdr:rowOff>10392</xdr:rowOff>
    </xdr:from>
    <xdr:to>
      <xdr:col>9</xdr:col>
      <xdr:colOff>1274619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id="{00000000-0008-0000-06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15</xdr:row>
      <xdr:rowOff>8659</xdr:rowOff>
    </xdr:from>
    <xdr:to>
      <xdr:col>9</xdr:col>
      <xdr:colOff>1281546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06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16</xdr:row>
      <xdr:rowOff>5196</xdr:rowOff>
    </xdr:from>
    <xdr:to>
      <xdr:col>4</xdr:col>
      <xdr:colOff>1096241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00000000-0008-0000-06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18</xdr:row>
      <xdr:rowOff>10391</xdr:rowOff>
    </xdr:from>
    <xdr:to>
      <xdr:col>5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id="{00000000-0008-0000-06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21</xdr:row>
      <xdr:rowOff>0</xdr:rowOff>
    </xdr:from>
    <xdr:to>
      <xdr:col>5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0000000-0008-0000-06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23</xdr:row>
      <xdr:rowOff>5196</xdr:rowOff>
    </xdr:from>
    <xdr:to>
      <xdr:col>5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06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1265960</xdr:colOff>
      <xdr:row>24</xdr:row>
      <xdr:rowOff>10392</xdr:rowOff>
    </xdr:from>
    <xdr:to>
      <xdr:col>9</xdr:col>
      <xdr:colOff>1265960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00000000-0008-0000-06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1264227</xdr:colOff>
      <xdr:row>21</xdr:row>
      <xdr:rowOff>17318</xdr:rowOff>
    </xdr:from>
    <xdr:to>
      <xdr:col>9</xdr:col>
      <xdr:colOff>1264227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id="{00000000-0008-0000-06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1269422</xdr:colOff>
      <xdr:row>22</xdr:row>
      <xdr:rowOff>5196</xdr:rowOff>
    </xdr:from>
    <xdr:to>
      <xdr:col>9</xdr:col>
      <xdr:colOff>1269422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06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25</xdr:row>
      <xdr:rowOff>1732</xdr:rowOff>
    </xdr:from>
    <xdr:to>
      <xdr:col>5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00000000-0008-0000-06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1263651</xdr:colOff>
      <xdr:row>25</xdr:row>
      <xdr:rowOff>1</xdr:rowOff>
    </xdr:from>
    <xdr:to>
      <xdr:col>9</xdr:col>
      <xdr:colOff>1263651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id="{00000000-0008-0000-06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4619</xdr:colOff>
      <xdr:row>20</xdr:row>
      <xdr:rowOff>5195</xdr:rowOff>
    </xdr:from>
    <xdr:to>
      <xdr:col>5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1272308</xdr:colOff>
      <xdr:row>20</xdr:row>
      <xdr:rowOff>9236</xdr:rowOff>
    </xdr:from>
    <xdr:to>
      <xdr:col>9</xdr:col>
      <xdr:colOff>1272308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4617</xdr:colOff>
      <xdr:row>24</xdr:row>
      <xdr:rowOff>5773</xdr:rowOff>
    </xdr:from>
    <xdr:to>
      <xdr:col>5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id="{00000000-0008-0000-06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27</xdr:row>
      <xdr:rowOff>17318</xdr:rowOff>
    </xdr:from>
    <xdr:to>
      <xdr:col>5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id="{00000000-0008-0000-06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29</xdr:row>
      <xdr:rowOff>17318</xdr:rowOff>
    </xdr:from>
    <xdr:to>
      <xdr:col>5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id="{00000000-0008-0000-06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28</xdr:row>
      <xdr:rowOff>8659</xdr:rowOff>
    </xdr:from>
    <xdr:to>
      <xdr:col>5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id="{00000000-0008-0000-06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30</xdr:row>
      <xdr:rowOff>13855</xdr:rowOff>
    </xdr:from>
    <xdr:to>
      <xdr:col>4</xdr:col>
      <xdr:colOff>1096241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id="{00000000-0008-0000-06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26</xdr:row>
      <xdr:rowOff>1732</xdr:rowOff>
    </xdr:from>
    <xdr:to>
      <xdr:col>9</xdr:col>
      <xdr:colOff>1274618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id="{00000000-0008-0000-06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27</xdr:row>
      <xdr:rowOff>8659</xdr:rowOff>
    </xdr:from>
    <xdr:to>
      <xdr:col>9</xdr:col>
      <xdr:colOff>1272886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id="{00000000-0008-0000-06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28</xdr:row>
      <xdr:rowOff>13854</xdr:rowOff>
    </xdr:from>
    <xdr:to>
      <xdr:col>9</xdr:col>
      <xdr:colOff>1278081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id="{00000000-0008-0000-06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31</xdr:row>
      <xdr:rowOff>8659</xdr:rowOff>
    </xdr:from>
    <xdr:to>
      <xdr:col>5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id="{00000000-0008-0000-06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1281544</xdr:colOff>
      <xdr:row>34</xdr:row>
      <xdr:rowOff>17895</xdr:rowOff>
    </xdr:from>
    <xdr:to>
      <xdr:col>9</xdr:col>
      <xdr:colOff>1281544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id="{00000000-0008-0000-06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37</xdr:row>
      <xdr:rowOff>8659</xdr:rowOff>
    </xdr:from>
    <xdr:to>
      <xdr:col>9</xdr:col>
      <xdr:colOff>1290205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id="{00000000-0008-0000-06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34</xdr:row>
      <xdr:rowOff>8658</xdr:rowOff>
    </xdr:from>
    <xdr:to>
      <xdr:col>5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id="{00000000-0008-0000-06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36</xdr:row>
      <xdr:rowOff>5195</xdr:rowOff>
    </xdr:from>
    <xdr:to>
      <xdr:col>9</xdr:col>
      <xdr:colOff>1278081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id="{00000000-0008-0000-06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33</xdr:row>
      <xdr:rowOff>10391</xdr:rowOff>
    </xdr:from>
    <xdr:to>
      <xdr:col>5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id="{00000000-0008-0000-06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33</xdr:row>
      <xdr:rowOff>8659</xdr:rowOff>
    </xdr:from>
    <xdr:to>
      <xdr:col>9</xdr:col>
      <xdr:colOff>1272887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id="{00000000-0008-0000-06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37</xdr:row>
      <xdr:rowOff>5194</xdr:rowOff>
    </xdr:from>
    <xdr:to>
      <xdr:col>5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id="{00000000-0008-0000-06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35</xdr:row>
      <xdr:rowOff>10391</xdr:rowOff>
    </xdr:from>
    <xdr:to>
      <xdr:col>9</xdr:col>
      <xdr:colOff>1274619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id="{00000000-0008-0000-06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4040</xdr:colOff>
      <xdr:row>35</xdr:row>
      <xdr:rowOff>13279</xdr:rowOff>
    </xdr:from>
    <xdr:to>
      <xdr:col>5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id="{00000000-0008-0000-06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5</xdr:col>
      <xdr:colOff>577</xdr:colOff>
      <xdr:row>36</xdr:row>
      <xdr:rowOff>9815</xdr:rowOff>
    </xdr:from>
    <xdr:to>
      <xdr:col>5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9</xdr:col>
      <xdr:colOff>1269975</xdr:colOff>
      <xdr:row>41</xdr:row>
      <xdr:rowOff>11706</xdr:rowOff>
    </xdr:from>
    <xdr:to>
      <xdr:col>9</xdr:col>
      <xdr:colOff>1269975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43</xdr:row>
      <xdr:rowOff>8659</xdr:rowOff>
    </xdr:from>
    <xdr:to>
      <xdr:col>9</xdr:col>
      <xdr:colOff>1272887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id="{00000000-0008-0000-06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38</xdr:row>
      <xdr:rowOff>8660</xdr:rowOff>
    </xdr:from>
    <xdr:to>
      <xdr:col>9</xdr:col>
      <xdr:colOff>1281545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id="{00000000-0008-0000-06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5194</xdr:colOff>
      <xdr:row>40</xdr:row>
      <xdr:rowOff>5196</xdr:rowOff>
    </xdr:from>
    <xdr:to>
      <xdr:col>5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id="{00000000-0008-0000-06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1730</xdr:colOff>
      <xdr:row>42</xdr:row>
      <xdr:rowOff>10392</xdr:rowOff>
    </xdr:from>
    <xdr:to>
      <xdr:col>5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id="{00000000-0008-0000-06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8658</xdr:colOff>
      <xdr:row>47</xdr:row>
      <xdr:rowOff>13279</xdr:rowOff>
    </xdr:from>
    <xdr:to>
      <xdr:col>5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id="{00000000-0008-0000-06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48</xdr:row>
      <xdr:rowOff>8659</xdr:rowOff>
    </xdr:from>
    <xdr:to>
      <xdr:col>9</xdr:col>
      <xdr:colOff>1272887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id="{00000000-0008-0000-06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39</xdr:row>
      <xdr:rowOff>8659</xdr:rowOff>
    </xdr:from>
    <xdr:to>
      <xdr:col>5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id="{00000000-0008-0000-06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41</xdr:row>
      <xdr:rowOff>5196</xdr:rowOff>
    </xdr:from>
    <xdr:to>
      <xdr:col>5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id="{00000000-0008-0000-06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42</xdr:row>
      <xdr:rowOff>10391</xdr:rowOff>
    </xdr:from>
    <xdr:to>
      <xdr:col>9</xdr:col>
      <xdr:colOff>1274618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id="{00000000-0008-0000-06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39</xdr:row>
      <xdr:rowOff>8660</xdr:rowOff>
    </xdr:from>
    <xdr:to>
      <xdr:col>9</xdr:col>
      <xdr:colOff>1290205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id="{00000000-0008-0000-06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40</xdr:row>
      <xdr:rowOff>5196</xdr:rowOff>
    </xdr:from>
    <xdr:to>
      <xdr:col>9</xdr:col>
      <xdr:colOff>1278083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id="{00000000-0008-0000-06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43</xdr:row>
      <xdr:rowOff>8659</xdr:rowOff>
    </xdr:from>
    <xdr:to>
      <xdr:col>5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id="{00000000-0008-0000-06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46</xdr:row>
      <xdr:rowOff>8659</xdr:rowOff>
    </xdr:from>
    <xdr:to>
      <xdr:col>5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id="{00000000-0008-0000-06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44</xdr:row>
      <xdr:rowOff>5195</xdr:rowOff>
    </xdr:from>
    <xdr:to>
      <xdr:col>9</xdr:col>
      <xdr:colOff>1278082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id="{00000000-0008-0000-06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48</xdr:row>
      <xdr:rowOff>8659</xdr:rowOff>
    </xdr:from>
    <xdr:to>
      <xdr:col>5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id="{00000000-0008-0000-06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45</xdr:row>
      <xdr:rowOff>8659</xdr:rowOff>
    </xdr:from>
    <xdr:to>
      <xdr:col>9</xdr:col>
      <xdr:colOff>1281546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id="{00000000-0008-0000-06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46</xdr:row>
      <xdr:rowOff>8659</xdr:rowOff>
    </xdr:from>
    <xdr:to>
      <xdr:col>9</xdr:col>
      <xdr:colOff>1281545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id="{00000000-0008-0000-06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49</xdr:row>
      <xdr:rowOff>8659</xdr:rowOff>
    </xdr:from>
    <xdr:to>
      <xdr:col>5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id="{00000000-0008-0000-06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5</xdr:col>
      <xdr:colOff>155864</xdr:colOff>
      <xdr:row>0</xdr:row>
      <xdr:rowOff>0</xdr:rowOff>
    </xdr:from>
    <xdr:to>
      <xdr:col>5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id="{00000000-0008-0000-06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158659</xdr:colOff>
      <xdr:row>0</xdr:row>
      <xdr:rowOff>0</xdr:rowOff>
    </xdr:from>
    <xdr:to>
      <xdr:col>5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id="{00000000-0008-0000-06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161455</xdr:colOff>
      <xdr:row>0</xdr:row>
      <xdr:rowOff>0</xdr:rowOff>
    </xdr:from>
    <xdr:to>
      <xdr:col>5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id="{00000000-0008-0000-06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3060382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7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51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07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07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07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07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00000000-0008-0000-07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07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00000000-0008-0000-07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id="{00000000-0008-0000-07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id="{00000000-0008-0000-07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00000000-0008-0000-07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00000000-0008-0000-07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00000000-0008-0000-07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00000000-0008-0000-07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id="{00000000-0008-0000-07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id="{00000000-0008-0000-07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00000000-0008-0000-07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07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id="{00000000-0008-0000-07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07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00000000-0008-0000-07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id="{00000000-0008-0000-07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00000000-0008-0000-07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00000000-0008-0000-07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id="{00000000-0008-0000-07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00000000-0008-0000-07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id="{00000000-0008-0000-07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id="{00000000-0008-0000-07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07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00000000-0008-0000-07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id="{00000000-0008-0000-07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0000000-0008-0000-07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07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00000000-0008-0000-07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id="{00000000-0008-0000-07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07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00000000-0008-0000-07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id="{00000000-0008-0000-07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id="{00000000-0008-0000-07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id="{00000000-0008-0000-07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id="{00000000-0008-0000-07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id="{00000000-0008-0000-07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id="{00000000-0008-0000-07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id="{00000000-0008-0000-07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id="{00000000-0008-0000-07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id="{00000000-0008-0000-07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id="{00000000-0008-0000-07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id="{00000000-0008-0000-07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id="{00000000-0008-0000-07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id="{00000000-0008-0000-07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id="{00000000-0008-0000-07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id="{00000000-0008-0000-07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id="{00000000-0008-0000-07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id="{00000000-0008-0000-07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id="{00000000-0008-0000-07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id="{00000000-0008-0000-07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id="{00000000-0008-0000-07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id="{00000000-0008-0000-07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id="{00000000-0008-0000-07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id="{00000000-0008-0000-07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id="{00000000-0008-0000-07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id="{00000000-0008-0000-07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id="{00000000-0008-0000-07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id="{00000000-0008-0000-07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id="{00000000-0008-0000-07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id="{00000000-0008-0000-07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id="{00000000-0008-0000-07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id="{00000000-0008-0000-07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id="{00000000-0008-0000-07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id="{00000000-0008-0000-07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id="{00000000-0008-0000-07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id="{00000000-0008-0000-07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id="{00000000-0008-0000-07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id="{00000000-0008-0000-07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id="{00000000-0008-0000-07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id="{00000000-0008-0000-07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id="{00000000-0008-0000-07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51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id="{00000000-0008-0000-07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id="{00000000-0008-0000-07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id="{00000000-0008-0000-07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id="{00000000-0008-0000-07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08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8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8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08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08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08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08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00000000-0008-0000-08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08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00000000-0008-0000-08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id="{00000000-0008-0000-08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id="{00000000-0008-0000-08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00000000-0008-0000-08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00000000-0008-0000-08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00000000-0008-0000-08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00000000-0008-0000-08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id="{00000000-0008-0000-08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id="{00000000-0008-0000-08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00000000-0008-0000-08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08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id="{00000000-0008-0000-08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08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00000000-0008-0000-08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id="{00000000-0008-0000-08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00000000-0008-0000-08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00000000-0008-0000-08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id="{00000000-0008-0000-08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00000000-0008-0000-08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id="{00000000-0008-0000-08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id="{00000000-0008-0000-08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08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00000000-0008-0000-08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id="{00000000-0008-0000-08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0000000-0008-0000-08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08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00000000-0008-0000-08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id="{00000000-0008-0000-08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08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00000000-0008-0000-08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id="{00000000-0008-0000-08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id="{00000000-0008-0000-08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id="{00000000-0008-0000-08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id="{00000000-0008-0000-08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id="{00000000-0008-0000-08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id="{00000000-0008-0000-08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id="{00000000-0008-0000-08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id="{00000000-0008-0000-08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id="{00000000-0008-0000-08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id="{00000000-0008-0000-08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id="{00000000-0008-0000-08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id="{00000000-0008-0000-08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id="{00000000-0008-0000-08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id="{00000000-0008-0000-08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id="{00000000-0008-0000-08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id="{00000000-0008-0000-08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id="{00000000-0008-0000-08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id="{00000000-0008-0000-08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id="{00000000-0008-0000-08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id="{00000000-0008-0000-08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id="{00000000-0008-0000-08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id="{00000000-0008-0000-08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id="{00000000-0008-0000-08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id="{00000000-0008-0000-08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id="{00000000-0008-0000-08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id="{00000000-0008-0000-08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id="{00000000-0008-0000-08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id="{00000000-0008-0000-08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id="{00000000-0008-0000-08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id="{00000000-0008-0000-08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id="{00000000-0008-0000-08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id="{00000000-0008-0000-08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id="{00000000-0008-0000-08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id="{00000000-0008-0000-08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id="{00000000-0008-0000-08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id="{00000000-0008-0000-08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id="{00000000-0008-0000-08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id="{00000000-0008-0000-08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id="{00000000-0008-0000-08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id="{00000000-0008-0000-08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id="{00000000-0008-0000-08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id="{00000000-0008-0000-08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id="{00000000-0008-0000-08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id="{00000000-0008-0000-08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09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09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09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09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00000000-0008-0000-09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09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00000000-0008-0000-09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id="{00000000-0008-0000-09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id="{00000000-0008-0000-09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00000000-0008-0000-09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00000000-0008-0000-09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00000000-0008-0000-09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00000000-0008-0000-09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id="{00000000-0008-0000-09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id="{00000000-0008-0000-09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00000000-0008-0000-09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09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id="{00000000-0008-0000-09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09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00000000-0008-0000-09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id="{00000000-0008-0000-09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00000000-0008-0000-09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00000000-0008-0000-09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id="{00000000-0008-0000-09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00000000-0008-0000-09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id="{00000000-0008-0000-09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id="{00000000-0008-0000-09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09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00000000-0008-0000-09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id="{00000000-0008-0000-09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0000000-0008-0000-09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09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00000000-0008-0000-09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id="{00000000-0008-0000-09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09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00000000-0008-0000-09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id="{00000000-0008-0000-09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id="{00000000-0008-0000-09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id="{00000000-0008-0000-09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id="{00000000-0008-0000-09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id="{00000000-0008-0000-09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id="{00000000-0008-0000-09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id="{00000000-0008-0000-09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id="{00000000-0008-0000-09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id="{00000000-0008-0000-09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id="{00000000-0008-0000-09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id="{00000000-0008-0000-09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id="{00000000-0008-0000-09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id="{00000000-0008-0000-09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id="{00000000-0008-0000-09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id="{00000000-0008-0000-09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id="{00000000-0008-0000-09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id="{00000000-0008-0000-09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id="{00000000-0008-0000-09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id="{00000000-0008-0000-09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id="{00000000-0008-0000-09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id="{00000000-0008-0000-09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id="{00000000-0008-0000-09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id="{00000000-0008-0000-09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id="{00000000-0008-0000-09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id="{00000000-0008-0000-09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id="{00000000-0008-0000-09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id="{00000000-0008-0000-09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id="{00000000-0008-0000-09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id="{00000000-0008-0000-09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id="{00000000-0008-0000-09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id="{00000000-0008-0000-09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id="{00000000-0008-0000-09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id="{00000000-0008-0000-09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id="{00000000-0008-0000-09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id="{00000000-0008-0000-09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id="{00000000-0008-0000-09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id="{00000000-0008-0000-09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id="{00000000-0008-0000-09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id="{00000000-0008-0000-09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id="{00000000-0008-0000-09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id="{00000000-0008-0000-09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id="{00000000-0008-0000-09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id="{00000000-0008-0000-09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id="{00000000-0008-0000-09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id="{00000000-0008-0000-0A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0A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0A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A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A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0A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0A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0A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0A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00000000-0008-0000-0A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0A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00000000-0008-0000-0A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id="{00000000-0008-0000-0A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id="{00000000-0008-0000-0A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00000000-0008-0000-0A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00000000-0008-0000-0A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00000000-0008-0000-0A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00000000-0008-0000-0A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id="{00000000-0008-0000-0A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id="{00000000-0008-0000-0A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00000000-0008-0000-0A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0A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id="{00000000-0008-0000-0A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0A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00000000-0008-0000-0A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id="{00000000-0008-0000-0A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00000000-0008-0000-0A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00000000-0008-0000-0A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id="{00000000-0008-0000-0A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00000000-0008-0000-0A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id="{00000000-0008-0000-0A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id="{00000000-0008-0000-0A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0A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00000000-0008-0000-0A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id="{00000000-0008-0000-0A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0000000-0008-0000-0A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0A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00000000-0008-0000-0A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id="{00000000-0008-0000-0A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0A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00000000-0008-0000-0A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id="{00000000-0008-0000-0A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id="{00000000-0008-0000-0A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id="{00000000-0008-0000-0A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id="{00000000-0008-0000-0A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id="{00000000-0008-0000-0A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id="{00000000-0008-0000-0A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id="{00000000-0008-0000-0A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id="{00000000-0008-0000-0A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id="{00000000-0008-0000-0A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id="{00000000-0008-0000-0A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id="{00000000-0008-0000-0A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id="{00000000-0008-0000-0A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id="{00000000-0008-0000-0A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id="{00000000-0008-0000-0A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id="{00000000-0008-0000-0A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id="{00000000-0008-0000-0A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id="{00000000-0008-0000-0A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id="{00000000-0008-0000-0A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id="{00000000-0008-0000-0A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id="{00000000-0008-0000-0A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id="{00000000-0008-0000-0A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id="{00000000-0008-0000-0A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id="{00000000-0008-0000-0A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id="{00000000-0008-0000-0A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id="{00000000-0008-0000-0A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id="{00000000-0008-0000-0A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id="{00000000-0008-0000-0A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id="{00000000-0008-0000-0A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id="{00000000-0008-0000-0A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id="{00000000-0008-0000-0A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id="{00000000-0008-0000-0A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id="{00000000-0008-0000-0A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id="{00000000-0008-0000-0A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id="{00000000-0008-0000-0A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id="{00000000-0008-0000-0A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id="{00000000-0008-0000-0A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id="{00000000-0008-0000-0A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id="{00000000-0008-0000-0A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id="{00000000-0008-0000-0A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id="{00000000-0008-0000-0A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id="{00000000-0008-0000-0A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id="{00000000-0008-0000-0A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id="{00000000-0008-0000-0A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id="{00000000-0008-0000-0A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id="{00000000-0008-0000-0B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id="{00000000-0008-0000-0B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id="{00000000-0008-0000-0B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id="{00000000-0008-0000-0B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id="{00000000-0008-0000-0B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id="{00000000-0008-0000-0B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0B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0B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B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B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0B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0B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0B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0B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0B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0B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00000000-0008-0000-0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0B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00000000-0008-0000-0B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id="{00000000-0008-0000-0B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id="{00000000-0008-0000-0B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00000000-0008-0000-0B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00000000-0008-0000-0B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00000000-0008-0000-0B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00000000-0008-0000-0B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id="{00000000-0008-0000-0B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id="{00000000-0008-0000-0B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00000000-0008-0000-0B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0B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id="{00000000-0008-0000-0B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0B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00000000-0008-0000-0B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id="{00000000-0008-0000-0B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00000000-0008-0000-0B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00000000-0008-0000-0B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id="{00000000-0008-0000-0B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00000000-0008-0000-0B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id="{00000000-0008-0000-0B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id="{00000000-0008-0000-0B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0B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00000000-0008-0000-0B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id="{00000000-0008-0000-0B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0000000-0008-0000-0B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0B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00000000-0008-0000-0B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id="{00000000-0008-0000-0B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0B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00000000-0008-0000-0B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id="{00000000-0008-0000-0B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id="{00000000-0008-0000-0B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id="{00000000-0008-0000-0B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id="{00000000-0008-0000-0B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id="{00000000-0008-0000-0B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id="{00000000-0008-0000-0B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id="{00000000-0008-0000-0B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id="{00000000-0008-0000-0B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id="{00000000-0008-0000-0B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id="{00000000-0008-0000-0B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id="{00000000-0008-0000-0B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id="{00000000-0008-0000-0B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id="{00000000-0008-0000-0B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id="{00000000-0008-0000-0B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id="{00000000-0008-0000-0B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id="{00000000-0008-0000-0B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id="{00000000-0008-0000-0B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id="{00000000-0008-0000-0B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id="{00000000-0008-0000-0B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id="{00000000-0008-0000-0B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id="{00000000-0008-0000-0B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id="{00000000-0008-0000-0B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id="{00000000-0008-0000-0B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id="{00000000-0008-0000-0B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id="{00000000-0008-0000-0B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id="{00000000-0008-0000-0B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id="{00000000-0008-0000-0B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id="{00000000-0008-0000-0B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id="{00000000-0008-0000-0B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id="{00000000-0008-0000-0B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id="{00000000-0008-0000-0B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id="{00000000-0008-0000-0B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id="{00000000-0008-0000-0B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id="{00000000-0008-0000-0B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id="{00000000-0008-0000-0B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id="{00000000-0008-0000-0B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id="{00000000-0008-0000-0B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id="{00000000-0008-0000-0B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id="{00000000-0008-0000-0B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id="{00000000-0008-0000-0B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id="{00000000-0008-0000-0B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id="{00000000-0008-0000-0B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id="{00000000-0008-0000-0B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id="{00000000-0008-0000-0B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id="{00000000-0008-0000-0C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id="{00000000-0008-0000-0C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id="{00000000-0008-0000-0C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id="{00000000-0008-0000-0C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id="{00000000-0008-0000-0C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id="{00000000-0008-0000-0C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id="{00000000-0008-0000-0C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0C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0C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C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C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0C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0C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0C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0C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0C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0C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00000000-0008-0000-0C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0C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00000000-0008-0000-0C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id="{00000000-0008-0000-0C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id="{00000000-0008-0000-0C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00000000-0008-0000-0C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00000000-0008-0000-0C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00000000-0008-0000-0C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00000000-0008-0000-0C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id="{00000000-0008-0000-0C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id="{00000000-0008-0000-0C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00000000-0008-0000-0C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0C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id="{00000000-0008-0000-0C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0C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00000000-0008-0000-0C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id="{00000000-0008-0000-0C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00000000-0008-0000-0C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00000000-0008-0000-0C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id="{00000000-0008-0000-0C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00000000-0008-0000-0C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id="{00000000-0008-0000-0C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id="{00000000-0008-0000-0C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0C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00000000-0008-0000-0C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id="{00000000-0008-0000-0C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0000000-0008-0000-0C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0C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00000000-0008-0000-0C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id="{00000000-0008-0000-0C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0C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00000000-0008-0000-0C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id="{00000000-0008-0000-0C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id="{00000000-0008-0000-0C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id="{00000000-0008-0000-0C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id="{00000000-0008-0000-0C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id="{00000000-0008-0000-0C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id="{00000000-0008-0000-0C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id="{00000000-0008-0000-0C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id="{00000000-0008-0000-0C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id="{00000000-0008-0000-0C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id="{00000000-0008-0000-0C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id="{00000000-0008-0000-0C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id="{00000000-0008-0000-0C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id="{00000000-0008-0000-0C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id="{00000000-0008-0000-0C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id="{00000000-0008-0000-0C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id="{00000000-0008-0000-0C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id="{00000000-0008-0000-0C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id="{00000000-0008-0000-0C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id="{00000000-0008-0000-0C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id="{00000000-0008-0000-0C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id="{00000000-0008-0000-0C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id="{00000000-0008-0000-0C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id="{00000000-0008-0000-0C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id="{00000000-0008-0000-0C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id="{00000000-0008-0000-0C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id="{00000000-0008-0000-0C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id="{00000000-0008-0000-0C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id="{00000000-0008-0000-0C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id="{00000000-0008-0000-0C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id="{00000000-0008-0000-0C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id="{00000000-0008-0000-0C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id="{00000000-0008-0000-0C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id="{00000000-0008-0000-0C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id="{00000000-0008-0000-0C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id="{00000000-0008-0000-0C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id="{00000000-0008-0000-0C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id="{00000000-0008-0000-0C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id="{00000000-0008-0000-0C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id="{00000000-0008-0000-0C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id="{00000000-0008-0000-0C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id="{00000000-0008-0000-0C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id="{00000000-0008-0000-0C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id="{00000000-0008-0000-0C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id="{00000000-0008-0000-0C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id="{00000000-0008-0000-0D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id="{00000000-0008-0000-0D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id="{00000000-0008-0000-0D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id="{00000000-0008-0000-0D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id="{00000000-0008-0000-0D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id="{00000000-0008-0000-0D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id="{00000000-0008-0000-0D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id="{00000000-0008-0000-0D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id="{00000000-0008-0000-0D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id="{00000000-0008-0000-0D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0D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0D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D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D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0D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0D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0D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0D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0D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0D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00000000-0008-0000-0D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0D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00000000-0008-0000-0D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id="{00000000-0008-0000-0D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id="{00000000-0008-0000-0D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00000000-0008-0000-0D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00000000-0008-0000-0D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00000000-0008-0000-0D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00000000-0008-0000-0D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id="{00000000-0008-0000-0D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id="{00000000-0008-0000-0D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00000000-0008-0000-0D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0D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id="{00000000-0008-0000-0D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0D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00000000-0008-0000-0D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id="{00000000-0008-0000-0D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00000000-0008-0000-0D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00000000-0008-0000-0D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id="{00000000-0008-0000-0D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00000000-0008-0000-0D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id="{00000000-0008-0000-0D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id="{00000000-0008-0000-0D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0D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00000000-0008-0000-0D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id="{00000000-0008-0000-0D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0000000-0008-0000-0D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0D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00000000-0008-0000-0D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id="{00000000-0008-0000-0D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0D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00000000-0008-0000-0D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id="{00000000-0008-0000-0D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id="{00000000-0008-0000-0D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id="{00000000-0008-0000-0D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id="{00000000-0008-0000-0D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id="{00000000-0008-0000-0D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id="{00000000-0008-0000-0D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id="{00000000-0008-0000-0D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id="{00000000-0008-0000-0D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id="{00000000-0008-0000-0D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id="{00000000-0008-0000-0D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id="{00000000-0008-0000-0D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id="{00000000-0008-0000-0D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id="{00000000-0008-0000-0D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id="{00000000-0008-0000-0D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id="{00000000-0008-0000-0D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id="{00000000-0008-0000-0D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id="{00000000-0008-0000-0D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id="{00000000-0008-0000-0D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id="{00000000-0008-0000-0D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id="{00000000-0008-0000-0D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id="{00000000-0008-0000-0D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id="{00000000-0008-0000-0D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id="{00000000-0008-0000-0D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id="{00000000-0008-0000-0D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id="{00000000-0008-0000-0D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id="{00000000-0008-0000-0D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id="{00000000-0008-0000-0D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id="{00000000-0008-0000-0D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id="{00000000-0008-0000-0D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id="{00000000-0008-0000-0D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id="{00000000-0008-0000-0D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id="{00000000-0008-0000-0D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id="{00000000-0008-0000-0D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id="{00000000-0008-0000-0D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id="{00000000-0008-0000-0D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id="{00000000-0008-0000-0D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id="{00000000-0008-0000-0D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id="{00000000-0008-0000-0D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id="{00000000-0008-0000-0D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id="{00000000-0008-0000-0D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id="{00000000-0008-0000-0D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id="{00000000-0008-0000-0D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id="{00000000-0008-0000-0D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id="{00000000-0008-0000-0D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id="{00000000-0008-0000-0E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id="{00000000-0008-0000-0E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id="{00000000-0008-0000-0E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id="{00000000-0008-0000-0E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id="{00000000-0008-0000-0E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id="{00000000-0008-0000-0E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id="{00000000-0008-0000-0E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id="{00000000-0008-0000-0E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id="{00000000-0008-0000-0E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id="{00000000-0008-0000-0E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0E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0E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E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E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0E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0E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0E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0E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0E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0E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00000000-0008-0000-0E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0E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00000000-0008-0000-0E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id="{00000000-0008-0000-0E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id="{00000000-0008-0000-0E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00000000-0008-0000-0E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00000000-0008-0000-0E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00000000-0008-0000-0E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00000000-0008-0000-0E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id="{00000000-0008-0000-0E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id="{00000000-0008-0000-0E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00000000-0008-0000-0E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0E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id="{00000000-0008-0000-0E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0E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00000000-0008-0000-0E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id="{00000000-0008-0000-0E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00000000-0008-0000-0E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00000000-0008-0000-0E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id="{00000000-0008-0000-0E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00000000-0008-0000-0E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id="{00000000-0008-0000-0E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id="{00000000-0008-0000-0E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0E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00000000-0008-0000-0E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id="{00000000-0008-0000-0E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0000000-0008-0000-0E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0E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00000000-0008-0000-0E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id="{00000000-0008-0000-0E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0E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00000000-0008-0000-0E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id="{00000000-0008-0000-0E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id="{00000000-0008-0000-0E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id="{00000000-0008-0000-0E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id="{00000000-0008-0000-0E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id="{00000000-0008-0000-0E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id="{00000000-0008-0000-0E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id="{00000000-0008-0000-0E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id="{00000000-0008-0000-0E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id="{00000000-0008-0000-0E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id="{00000000-0008-0000-0E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id="{00000000-0008-0000-0E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id="{00000000-0008-0000-0E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id="{00000000-0008-0000-0E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id="{00000000-0008-0000-0E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id="{00000000-0008-0000-0E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id="{00000000-0008-0000-0E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id="{00000000-0008-0000-0E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id="{00000000-0008-0000-0E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id="{00000000-0008-0000-0E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id="{00000000-0008-0000-0E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id="{00000000-0008-0000-0E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id="{00000000-0008-0000-0E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id="{00000000-0008-0000-0E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id="{00000000-0008-0000-0E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id="{00000000-0008-0000-0E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id="{00000000-0008-0000-0E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id="{00000000-0008-0000-0E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id="{00000000-0008-0000-0E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id="{00000000-0008-0000-0E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id="{00000000-0008-0000-0E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id="{00000000-0008-0000-0E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id="{00000000-0008-0000-0E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id="{00000000-0008-0000-0E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id="{00000000-0008-0000-0E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id="{00000000-0008-0000-0E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id="{00000000-0008-0000-0E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id="{00000000-0008-0000-0E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id="{00000000-0008-0000-0E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id="{00000000-0008-0000-0E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id="{00000000-0008-0000-0E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id="{00000000-0008-0000-0E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id="{00000000-0008-0000-0E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id="{00000000-0008-0000-0E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id="{00000000-0008-0000-0E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id="{00000000-0008-0000-0F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id="{00000000-0008-0000-0F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id="{00000000-0008-0000-0F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id="{00000000-0008-0000-0F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id="{00000000-0008-0000-0F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id="{00000000-0008-0000-0F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id="{00000000-0008-0000-0F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id="{00000000-0008-0000-0F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id="{00000000-0008-0000-0F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id="{00000000-0008-0000-0F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0F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0F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F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F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0F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0F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0F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0F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0F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0F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00000000-0008-0000-0F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0F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00000000-0008-0000-0F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id="{00000000-0008-0000-0F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id="{00000000-0008-0000-0F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00000000-0008-0000-0F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00000000-0008-0000-0F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00000000-0008-0000-0F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00000000-0008-0000-0F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id="{00000000-0008-0000-0F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id="{00000000-0008-0000-0F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00000000-0008-0000-0F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0F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id="{00000000-0008-0000-0F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0F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00000000-0008-0000-0F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id="{00000000-0008-0000-0F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00000000-0008-0000-0F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00000000-0008-0000-0F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id="{00000000-0008-0000-0F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00000000-0008-0000-0F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id="{00000000-0008-0000-0F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id="{00000000-0008-0000-0F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0F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00000000-0008-0000-0F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id="{00000000-0008-0000-0F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0000000-0008-0000-0F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0F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00000000-0008-0000-0F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id="{00000000-0008-0000-0F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0F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00000000-0008-0000-0F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id="{00000000-0008-0000-0F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id="{00000000-0008-0000-0F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id="{00000000-0008-0000-0F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id="{00000000-0008-0000-0F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id="{00000000-0008-0000-0F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id="{00000000-0008-0000-0F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id="{00000000-0008-0000-0F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id="{00000000-0008-0000-0F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id="{00000000-0008-0000-0F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id="{00000000-0008-0000-0F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id="{00000000-0008-0000-0F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id="{00000000-0008-0000-0F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id="{00000000-0008-0000-0F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id="{00000000-0008-0000-0F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id="{00000000-0008-0000-0F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id="{00000000-0008-0000-0F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id="{00000000-0008-0000-0F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id="{00000000-0008-0000-0F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id="{00000000-0008-0000-0F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id="{00000000-0008-0000-0F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id="{00000000-0008-0000-0F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id="{00000000-0008-0000-0F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id="{00000000-0008-0000-0F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id="{00000000-0008-0000-0F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id="{00000000-0008-0000-0F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id="{00000000-0008-0000-0F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id="{00000000-0008-0000-0F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id="{00000000-0008-0000-0F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id="{00000000-0008-0000-0F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id="{00000000-0008-0000-0F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id="{00000000-0008-0000-0F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id="{00000000-0008-0000-0F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id="{00000000-0008-0000-0F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id="{00000000-0008-0000-0F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id="{00000000-0008-0000-0F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id="{00000000-0008-0000-0F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id="{00000000-0008-0000-0F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id="{00000000-0008-0000-0F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id="{00000000-0008-0000-0F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id="{00000000-0008-0000-0F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id="{00000000-0008-0000-0F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id="{00000000-0008-0000-0F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id="{00000000-0008-0000-0F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id="{00000000-0008-0000-0F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id="{00000000-0008-0000-1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id="{00000000-0008-0000-1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id="{00000000-0008-0000-1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id="{00000000-0008-0000-1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id="{00000000-0008-0000-1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id="{00000000-0008-0000-1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id="{00000000-0008-0000-1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id="{00000000-0008-0000-1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1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1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10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1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10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1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1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10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10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10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00000000-0008-0000-1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10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00000000-0008-0000-10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id="{00000000-0008-0000-10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id="{00000000-0008-0000-10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00000000-0008-0000-10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00000000-0008-0000-10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00000000-0008-0000-10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00000000-0008-0000-10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id="{00000000-0008-0000-10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id="{00000000-0008-0000-10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00000000-0008-0000-10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10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id="{00000000-0008-0000-10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10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00000000-0008-0000-10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id="{00000000-0008-0000-10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00000000-0008-0000-10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00000000-0008-0000-10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id="{00000000-0008-0000-10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00000000-0008-0000-10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id="{00000000-0008-0000-10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id="{00000000-0008-0000-10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10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00000000-0008-0000-10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id="{00000000-0008-0000-10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0000000-0008-0000-10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10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00000000-0008-0000-10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id="{00000000-0008-0000-10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10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00000000-0008-0000-10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id="{00000000-0008-0000-10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id="{00000000-0008-0000-10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id="{00000000-0008-0000-10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id="{00000000-0008-0000-10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id="{00000000-0008-0000-10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id="{00000000-0008-0000-10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id="{00000000-0008-0000-10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id="{00000000-0008-0000-10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id="{00000000-0008-0000-10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id="{00000000-0008-0000-10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id="{00000000-0008-0000-10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id="{00000000-0008-0000-10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id="{00000000-0008-0000-10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id="{00000000-0008-0000-10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id="{00000000-0008-0000-10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id="{00000000-0008-0000-10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id="{00000000-0008-0000-10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id="{00000000-0008-0000-10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id="{00000000-0008-0000-10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id="{00000000-0008-0000-10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id="{00000000-0008-0000-10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id="{00000000-0008-0000-10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id="{00000000-0008-0000-10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id="{00000000-0008-0000-10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id="{00000000-0008-0000-10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id="{00000000-0008-0000-10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id="{00000000-0008-0000-10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id="{00000000-0008-0000-10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id="{00000000-0008-0000-10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id="{00000000-0008-0000-10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id="{00000000-0008-0000-10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id="{00000000-0008-0000-10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id="{00000000-0008-0000-10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id="{00000000-0008-0000-10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id="{00000000-0008-0000-10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id="{00000000-0008-0000-10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id="{00000000-0008-0000-10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id="{00000000-0008-0000-10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id="{00000000-0008-0000-10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id="{00000000-0008-0000-10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id="{00000000-0008-0000-10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id="{00000000-0008-0000-10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id="{00000000-0008-0000-10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id="{00000000-0008-0000-10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id="{00000000-0008-0000-1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id="{00000000-0008-0000-1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id="{00000000-0008-0000-1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id="{00000000-0008-0000-1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id="{00000000-0008-0000-1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id="{00000000-0008-0000-1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id="{00000000-0008-0000-1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id="{00000000-0008-0000-1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id="{00000000-0008-0000-11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id="{00000000-0008-0000-11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11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11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11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11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11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11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11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11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11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11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00000000-0008-0000-11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11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00000000-0008-0000-11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id="{00000000-0008-0000-11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id="{00000000-0008-0000-11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00000000-0008-0000-11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00000000-0008-0000-11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00000000-0008-0000-11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00000000-0008-0000-11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id="{00000000-0008-0000-11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id="{00000000-0008-0000-11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00000000-0008-0000-11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11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id="{00000000-0008-0000-11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11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00000000-0008-0000-11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id="{00000000-0008-0000-11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00000000-0008-0000-11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00000000-0008-0000-11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id="{00000000-0008-0000-11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00000000-0008-0000-11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id="{00000000-0008-0000-11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id="{00000000-0008-0000-11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11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00000000-0008-0000-11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id="{00000000-0008-0000-11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0000000-0008-0000-11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11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00000000-0008-0000-11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id="{00000000-0008-0000-11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11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00000000-0008-0000-11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id="{00000000-0008-0000-11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id="{00000000-0008-0000-11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id="{00000000-0008-0000-11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id="{00000000-0008-0000-11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id="{00000000-0008-0000-11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id="{00000000-0008-0000-11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id="{00000000-0008-0000-11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id="{00000000-0008-0000-11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id="{00000000-0008-0000-11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id="{00000000-0008-0000-11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id="{00000000-0008-0000-11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id="{00000000-0008-0000-11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id="{00000000-0008-0000-11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id="{00000000-0008-0000-11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id="{00000000-0008-0000-11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id="{00000000-0008-0000-11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id="{00000000-0008-0000-11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id="{00000000-0008-0000-11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id="{00000000-0008-0000-11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id="{00000000-0008-0000-11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id="{00000000-0008-0000-11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id="{00000000-0008-0000-11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id="{00000000-0008-0000-11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id="{00000000-0008-0000-11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id="{00000000-0008-0000-11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id="{00000000-0008-0000-11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id="{00000000-0008-0000-11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id="{00000000-0008-0000-11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id="{00000000-0008-0000-11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id="{00000000-0008-0000-11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id="{00000000-0008-0000-11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id="{00000000-0008-0000-11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id="{00000000-0008-0000-11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id="{00000000-0008-0000-11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id="{00000000-0008-0000-11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id="{00000000-0008-0000-11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id="{00000000-0008-0000-11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id="{00000000-0008-0000-11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id="{00000000-0008-0000-11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id="{00000000-0008-0000-11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id="{00000000-0008-0000-11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id="{00000000-0008-0000-11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id="{00000000-0008-0000-11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id="{00000000-0008-0000-11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id="{00000000-0008-0000-1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id="{00000000-0008-0000-1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id="{00000000-0008-0000-1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id="{00000000-0008-0000-1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id="{00000000-0008-0000-1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id="{00000000-0008-0000-12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id="{00000000-0008-0000-12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id="{00000000-0008-0000-12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id="{00000000-0008-0000-12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12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12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12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12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12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12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12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12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12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12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00000000-0008-0000-12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12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00000000-0008-0000-12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id="{00000000-0008-0000-12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id="{00000000-0008-0000-12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00000000-0008-0000-12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00000000-0008-0000-12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00000000-0008-0000-12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00000000-0008-0000-12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id="{00000000-0008-0000-12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id="{00000000-0008-0000-12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00000000-0008-0000-12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12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id="{00000000-0008-0000-12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12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00000000-0008-0000-12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id="{00000000-0008-0000-12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00000000-0008-0000-1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00000000-0008-0000-12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id="{00000000-0008-0000-12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00000000-0008-0000-12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id="{00000000-0008-0000-12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id="{00000000-0008-0000-12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12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00000000-0008-0000-12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id="{00000000-0008-0000-12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0000000-0008-0000-12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1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00000000-0008-0000-1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id="{00000000-0008-0000-12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12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00000000-0008-0000-12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id="{00000000-0008-0000-12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id="{00000000-0008-0000-12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id="{00000000-0008-0000-12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id="{00000000-0008-0000-12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id="{00000000-0008-0000-12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id="{00000000-0008-0000-12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id="{00000000-0008-0000-12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id="{00000000-0008-0000-12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id="{00000000-0008-0000-12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id="{00000000-0008-0000-12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id="{00000000-0008-0000-12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id="{00000000-0008-0000-12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id="{00000000-0008-0000-12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id="{00000000-0008-0000-12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id="{00000000-0008-0000-12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id="{00000000-0008-0000-12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id="{00000000-0008-0000-12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id="{00000000-0008-0000-12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id="{00000000-0008-0000-12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id="{00000000-0008-0000-12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id="{00000000-0008-0000-12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id="{00000000-0008-0000-12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id="{00000000-0008-0000-12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id="{00000000-0008-0000-12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id="{00000000-0008-0000-12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id="{00000000-0008-0000-12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id="{00000000-0008-0000-12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id="{00000000-0008-0000-12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id="{00000000-0008-0000-12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id="{00000000-0008-0000-12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id="{00000000-0008-0000-12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id="{00000000-0008-0000-12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id="{00000000-0008-0000-12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id="{00000000-0008-0000-12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id="{00000000-0008-0000-12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id="{00000000-0008-0000-12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id="{00000000-0008-0000-12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id="{00000000-0008-0000-12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id="{00000000-0008-0000-12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id="{00000000-0008-0000-12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id="{00000000-0008-0000-12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id="{00000000-0008-0000-12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id="{00000000-0008-0000-12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id="{00000000-0008-0000-12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id="{00000000-0008-0000-1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id="{00000000-0008-0000-1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id="{00000000-0008-0000-1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id="{00000000-0008-0000-1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id="{00000000-0008-0000-13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id="{00000000-0008-0000-13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id="{00000000-0008-0000-1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id="{00000000-0008-0000-13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id="{00000000-0008-0000-13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id="{00000000-0008-0000-13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id="{00000000-0008-0000-13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13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13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13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13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13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13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13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13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13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13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00000000-0008-0000-13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13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00000000-0008-0000-13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id="{00000000-0008-0000-13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id="{00000000-0008-0000-13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00000000-0008-0000-13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00000000-0008-0000-13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00000000-0008-0000-13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00000000-0008-0000-13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id="{00000000-0008-0000-13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id="{00000000-0008-0000-13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00000000-0008-0000-13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13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id="{00000000-0008-0000-13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13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00000000-0008-0000-13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id="{00000000-0008-0000-13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00000000-0008-0000-13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00000000-0008-0000-13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id="{00000000-0008-0000-13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00000000-0008-0000-13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id="{00000000-0008-0000-13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id="{00000000-0008-0000-13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13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00000000-0008-0000-13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id="{00000000-0008-0000-13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0000000-0008-0000-13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13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00000000-0008-0000-13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id="{00000000-0008-0000-13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13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00000000-0008-0000-13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id="{00000000-0008-0000-13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id="{00000000-0008-0000-13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id="{00000000-0008-0000-13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id="{00000000-0008-0000-13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id="{00000000-0008-0000-13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id="{00000000-0008-0000-13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id="{00000000-0008-0000-13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id="{00000000-0008-0000-13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id="{00000000-0008-0000-13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id="{00000000-0008-0000-13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id="{00000000-0008-0000-13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id="{00000000-0008-0000-13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id="{00000000-0008-0000-1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id="{00000000-0008-0000-13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id="{00000000-0008-0000-13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id="{00000000-0008-0000-13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id="{00000000-0008-0000-13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id="{00000000-0008-0000-13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id="{00000000-0008-0000-13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id="{00000000-0008-0000-13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id="{00000000-0008-0000-13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id="{00000000-0008-0000-13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id="{00000000-0008-0000-13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id="{00000000-0008-0000-13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id="{00000000-0008-0000-13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id="{00000000-0008-0000-13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id="{00000000-0008-0000-13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id="{00000000-0008-0000-13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id="{00000000-0008-0000-13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id="{00000000-0008-0000-13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id="{00000000-0008-0000-13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id="{00000000-0008-0000-13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id="{00000000-0008-0000-13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id="{00000000-0008-0000-13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id="{00000000-0008-0000-13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id="{00000000-0008-0000-13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id="{00000000-0008-0000-13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id="{00000000-0008-0000-13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id="{00000000-0008-0000-13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id="{00000000-0008-0000-13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id="{00000000-0008-0000-13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id="{00000000-0008-0000-13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id="{00000000-0008-0000-13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id="{00000000-0008-0000-13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9525</xdr:colOff>
      <xdr:row>75</xdr:row>
      <xdr:rowOff>19050</xdr:rowOff>
    </xdr:from>
    <xdr:to>
      <xdr:col>11</xdr:col>
      <xdr:colOff>9525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1271732</xdr:colOff>
      <xdr:row>32</xdr:row>
      <xdr:rowOff>8083</xdr:rowOff>
    </xdr:from>
    <xdr:to>
      <xdr:col>9</xdr:col>
      <xdr:colOff>1271732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5</xdr:col>
      <xdr:colOff>16164</xdr:colOff>
      <xdr:row>17</xdr:row>
      <xdr:rowOff>12122</xdr:rowOff>
    </xdr:from>
    <xdr:to>
      <xdr:col>5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1094510</xdr:colOff>
      <xdr:row>14</xdr:row>
      <xdr:rowOff>20782</xdr:rowOff>
    </xdr:from>
    <xdr:to>
      <xdr:col>4</xdr:col>
      <xdr:colOff>1094510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8</xdr:row>
      <xdr:rowOff>12124</xdr:rowOff>
    </xdr:from>
    <xdr:to>
      <xdr:col>9</xdr:col>
      <xdr:colOff>1285010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29</xdr:row>
      <xdr:rowOff>12700</xdr:rowOff>
    </xdr:from>
    <xdr:to>
      <xdr:col>9</xdr:col>
      <xdr:colOff>1285010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3463</xdr:colOff>
      <xdr:row>26</xdr:row>
      <xdr:rowOff>17319</xdr:rowOff>
    </xdr:from>
    <xdr:to>
      <xdr:col>5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12122</xdr:colOff>
      <xdr:row>45</xdr:row>
      <xdr:rowOff>16742</xdr:rowOff>
    </xdr:from>
    <xdr:to>
      <xdr:col>5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3461</xdr:colOff>
      <xdr:row>32</xdr:row>
      <xdr:rowOff>12700</xdr:rowOff>
    </xdr:from>
    <xdr:to>
      <xdr:col>5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1267114</xdr:colOff>
      <xdr:row>23</xdr:row>
      <xdr:rowOff>3464</xdr:rowOff>
    </xdr:from>
    <xdr:to>
      <xdr:col>9</xdr:col>
      <xdr:colOff>1267114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id="{00000000-0008-0000-14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11544</xdr:colOff>
      <xdr:row>22</xdr:row>
      <xdr:rowOff>12700</xdr:rowOff>
    </xdr:from>
    <xdr:to>
      <xdr:col>5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1275525</xdr:colOff>
      <xdr:row>30</xdr:row>
      <xdr:rowOff>11417</xdr:rowOff>
    </xdr:from>
    <xdr:to>
      <xdr:col>9</xdr:col>
      <xdr:colOff>1275525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9</xdr:col>
      <xdr:colOff>1266341</xdr:colOff>
      <xdr:row>18</xdr:row>
      <xdr:rowOff>9988</xdr:rowOff>
    </xdr:from>
    <xdr:to>
      <xdr:col>9</xdr:col>
      <xdr:colOff>1266341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5</xdr:col>
      <xdr:colOff>9211</xdr:colOff>
      <xdr:row>38</xdr:row>
      <xdr:rowOff>6511</xdr:rowOff>
    </xdr:from>
    <xdr:to>
      <xdr:col>5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1272957</xdr:colOff>
      <xdr:row>31</xdr:row>
      <xdr:rowOff>16935</xdr:rowOff>
    </xdr:from>
    <xdr:to>
      <xdr:col>9</xdr:col>
      <xdr:colOff>1272957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5</xdr:col>
      <xdr:colOff>858124</xdr:colOff>
      <xdr:row>0</xdr:row>
      <xdr:rowOff>0</xdr:rowOff>
    </xdr:from>
    <xdr:to>
      <xdr:col>5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3</xdr:col>
      <xdr:colOff>589597</xdr:colOff>
      <xdr:row>0</xdr:row>
      <xdr:rowOff>0</xdr:rowOff>
    </xdr:from>
    <xdr:to>
      <xdr:col>3</xdr:col>
      <xdr:colOff>351472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5</xdr:col>
      <xdr:colOff>21405</xdr:colOff>
      <xdr:row>1</xdr:row>
      <xdr:rowOff>194582</xdr:rowOff>
    </xdr:from>
    <xdr:to>
      <xdr:col>5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14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5</xdr:col>
      <xdr:colOff>23975</xdr:colOff>
      <xdr:row>4</xdr:row>
      <xdr:rowOff>13267</xdr:rowOff>
    </xdr:from>
    <xdr:to>
      <xdr:col>5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14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9</xdr:col>
      <xdr:colOff>1257302</xdr:colOff>
      <xdr:row>6</xdr:row>
      <xdr:rowOff>5134</xdr:rowOff>
    </xdr:from>
    <xdr:to>
      <xdr:col>9</xdr:col>
      <xdr:colOff>1257302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14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44</xdr:row>
      <xdr:rowOff>10702</xdr:rowOff>
    </xdr:from>
    <xdr:to>
      <xdr:col>5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14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1265434</xdr:colOff>
      <xdr:row>49</xdr:row>
      <xdr:rowOff>2567</xdr:rowOff>
    </xdr:from>
    <xdr:to>
      <xdr:col>9</xdr:col>
      <xdr:colOff>1265434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14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9</xdr:col>
      <xdr:colOff>1268002</xdr:colOff>
      <xdr:row>47</xdr:row>
      <xdr:rowOff>15839</xdr:rowOff>
    </xdr:from>
    <xdr:to>
      <xdr:col>9</xdr:col>
      <xdr:colOff>1268002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14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1376016</xdr:colOff>
      <xdr:row>2</xdr:row>
      <xdr:rowOff>4087</xdr:rowOff>
    </xdr:from>
    <xdr:to>
      <xdr:col>9</xdr:col>
      <xdr:colOff>1376016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14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9</xdr:col>
      <xdr:colOff>1346576</xdr:colOff>
      <xdr:row>5</xdr:row>
      <xdr:rowOff>9282</xdr:rowOff>
    </xdr:from>
    <xdr:to>
      <xdr:col>9</xdr:col>
      <xdr:colOff>1346576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14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5</xdr:col>
      <xdr:colOff>44248</xdr:colOff>
      <xdr:row>7</xdr:row>
      <xdr:rowOff>5818</xdr:rowOff>
    </xdr:from>
    <xdr:to>
      <xdr:col>5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14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</xdr:row>
      <xdr:rowOff>8659</xdr:rowOff>
    </xdr:from>
    <xdr:to>
      <xdr:col>5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00000000-0008-0000-14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</xdr:row>
      <xdr:rowOff>13854</xdr:rowOff>
    </xdr:from>
    <xdr:to>
      <xdr:col>9</xdr:col>
      <xdr:colOff>1278082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14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1265959</xdr:colOff>
      <xdr:row>7</xdr:row>
      <xdr:rowOff>1731</xdr:rowOff>
    </xdr:from>
    <xdr:to>
      <xdr:col>9</xdr:col>
      <xdr:colOff>1265959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00000000-0008-0000-14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3</xdr:row>
      <xdr:rowOff>8658</xdr:rowOff>
    </xdr:from>
    <xdr:to>
      <xdr:col>9</xdr:col>
      <xdr:colOff>1290206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id="{00000000-0008-0000-14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1096242</xdr:colOff>
      <xdr:row>5</xdr:row>
      <xdr:rowOff>13854</xdr:rowOff>
    </xdr:from>
    <xdr:to>
      <xdr:col>4</xdr:col>
      <xdr:colOff>1096242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id="{00000000-0008-0000-14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1092778</xdr:colOff>
      <xdr:row>6</xdr:row>
      <xdr:rowOff>10390</xdr:rowOff>
    </xdr:from>
    <xdr:to>
      <xdr:col>4</xdr:col>
      <xdr:colOff>1092778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00000000-0008-0000-14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8</xdr:row>
      <xdr:rowOff>0</xdr:rowOff>
    </xdr:from>
    <xdr:to>
      <xdr:col>5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00000000-0008-0000-14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11</xdr:row>
      <xdr:rowOff>13854</xdr:rowOff>
    </xdr:from>
    <xdr:to>
      <xdr:col>5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00000000-0008-0000-14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12</xdr:row>
      <xdr:rowOff>10390</xdr:rowOff>
    </xdr:from>
    <xdr:to>
      <xdr:col>9</xdr:col>
      <xdr:colOff>1274619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00000000-0008-0000-14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10</xdr:row>
      <xdr:rowOff>17319</xdr:rowOff>
    </xdr:from>
    <xdr:to>
      <xdr:col>9</xdr:col>
      <xdr:colOff>1290206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id="{00000000-0008-0000-14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1087583</xdr:colOff>
      <xdr:row>13</xdr:row>
      <xdr:rowOff>13855</xdr:rowOff>
    </xdr:from>
    <xdr:to>
      <xdr:col>4</xdr:col>
      <xdr:colOff>1087583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id="{00000000-0008-0000-14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9</xdr:row>
      <xdr:rowOff>0</xdr:rowOff>
    </xdr:from>
    <xdr:to>
      <xdr:col>5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00000000-0008-0000-14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13</xdr:row>
      <xdr:rowOff>13855</xdr:rowOff>
    </xdr:from>
    <xdr:to>
      <xdr:col>9</xdr:col>
      <xdr:colOff>1278083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14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1283278</xdr:colOff>
      <xdr:row>11</xdr:row>
      <xdr:rowOff>19050</xdr:rowOff>
    </xdr:from>
    <xdr:to>
      <xdr:col>9</xdr:col>
      <xdr:colOff>1283278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id="{00000000-0008-0000-14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9</xdr:row>
      <xdr:rowOff>8660</xdr:rowOff>
    </xdr:from>
    <xdr:to>
      <xdr:col>9</xdr:col>
      <xdr:colOff>1272886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14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10</xdr:row>
      <xdr:rowOff>13855</xdr:rowOff>
    </xdr:from>
    <xdr:to>
      <xdr:col>5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00000000-0008-0000-14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12</xdr:row>
      <xdr:rowOff>19051</xdr:rowOff>
    </xdr:from>
    <xdr:to>
      <xdr:col>5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id="{00000000-0008-0000-14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1272885</xdr:colOff>
      <xdr:row>14</xdr:row>
      <xdr:rowOff>0</xdr:rowOff>
    </xdr:from>
    <xdr:to>
      <xdr:col>9</xdr:col>
      <xdr:colOff>1272885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00000000-0008-0000-14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1269421</xdr:colOff>
      <xdr:row>16</xdr:row>
      <xdr:rowOff>5195</xdr:rowOff>
    </xdr:from>
    <xdr:to>
      <xdr:col>9</xdr:col>
      <xdr:colOff>1269421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00000000-0008-0000-14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10389</xdr:colOff>
      <xdr:row>19</xdr:row>
      <xdr:rowOff>1731</xdr:rowOff>
    </xdr:from>
    <xdr:to>
      <xdr:col>5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id="{00000000-0008-0000-14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15</xdr:row>
      <xdr:rowOff>0</xdr:rowOff>
    </xdr:from>
    <xdr:to>
      <xdr:col>5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00000000-0008-0000-14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1269424</xdr:colOff>
      <xdr:row>17</xdr:row>
      <xdr:rowOff>5196</xdr:rowOff>
    </xdr:from>
    <xdr:to>
      <xdr:col>9</xdr:col>
      <xdr:colOff>1269424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id="{00000000-0008-0000-14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19</xdr:row>
      <xdr:rowOff>10392</xdr:rowOff>
    </xdr:from>
    <xdr:to>
      <xdr:col>9</xdr:col>
      <xdr:colOff>1274619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id="{00000000-0008-0000-14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15</xdr:row>
      <xdr:rowOff>8659</xdr:rowOff>
    </xdr:from>
    <xdr:to>
      <xdr:col>9</xdr:col>
      <xdr:colOff>1281546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14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16</xdr:row>
      <xdr:rowOff>5196</xdr:rowOff>
    </xdr:from>
    <xdr:to>
      <xdr:col>4</xdr:col>
      <xdr:colOff>1096241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00000000-0008-0000-14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18</xdr:row>
      <xdr:rowOff>10391</xdr:rowOff>
    </xdr:from>
    <xdr:to>
      <xdr:col>5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id="{00000000-0008-0000-14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21</xdr:row>
      <xdr:rowOff>0</xdr:rowOff>
    </xdr:from>
    <xdr:to>
      <xdr:col>5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0000000-0008-0000-14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23</xdr:row>
      <xdr:rowOff>5196</xdr:rowOff>
    </xdr:from>
    <xdr:to>
      <xdr:col>5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14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1265960</xdr:colOff>
      <xdr:row>24</xdr:row>
      <xdr:rowOff>10392</xdr:rowOff>
    </xdr:from>
    <xdr:to>
      <xdr:col>9</xdr:col>
      <xdr:colOff>1265960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00000000-0008-0000-14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1264227</xdr:colOff>
      <xdr:row>21</xdr:row>
      <xdr:rowOff>17318</xdr:rowOff>
    </xdr:from>
    <xdr:to>
      <xdr:col>9</xdr:col>
      <xdr:colOff>1264227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id="{00000000-0008-0000-14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1269422</xdr:colOff>
      <xdr:row>22</xdr:row>
      <xdr:rowOff>5196</xdr:rowOff>
    </xdr:from>
    <xdr:to>
      <xdr:col>9</xdr:col>
      <xdr:colOff>1269422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14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25</xdr:row>
      <xdr:rowOff>1732</xdr:rowOff>
    </xdr:from>
    <xdr:to>
      <xdr:col>5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00000000-0008-0000-14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1263651</xdr:colOff>
      <xdr:row>25</xdr:row>
      <xdr:rowOff>1</xdr:rowOff>
    </xdr:from>
    <xdr:to>
      <xdr:col>9</xdr:col>
      <xdr:colOff>1263651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id="{00000000-0008-0000-14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4619</xdr:colOff>
      <xdr:row>20</xdr:row>
      <xdr:rowOff>5195</xdr:rowOff>
    </xdr:from>
    <xdr:to>
      <xdr:col>5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id="{00000000-0008-0000-14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1272308</xdr:colOff>
      <xdr:row>20</xdr:row>
      <xdr:rowOff>9236</xdr:rowOff>
    </xdr:from>
    <xdr:to>
      <xdr:col>9</xdr:col>
      <xdr:colOff>1272308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id="{00000000-0008-0000-14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4617</xdr:colOff>
      <xdr:row>24</xdr:row>
      <xdr:rowOff>5773</xdr:rowOff>
    </xdr:from>
    <xdr:to>
      <xdr:col>5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id="{00000000-0008-0000-14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27</xdr:row>
      <xdr:rowOff>17318</xdr:rowOff>
    </xdr:from>
    <xdr:to>
      <xdr:col>5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id="{00000000-0008-0000-14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29</xdr:row>
      <xdr:rowOff>17318</xdr:rowOff>
    </xdr:from>
    <xdr:to>
      <xdr:col>5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id="{00000000-0008-0000-14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28</xdr:row>
      <xdr:rowOff>8659</xdr:rowOff>
    </xdr:from>
    <xdr:to>
      <xdr:col>5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id="{00000000-0008-0000-14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30</xdr:row>
      <xdr:rowOff>13855</xdr:rowOff>
    </xdr:from>
    <xdr:to>
      <xdr:col>4</xdr:col>
      <xdr:colOff>1096241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id="{00000000-0008-0000-14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26</xdr:row>
      <xdr:rowOff>1732</xdr:rowOff>
    </xdr:from>
    <xdr:to>
      <xdr:col>9</xdr:col>
      <xdr:colOff>1274618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id="{00000000-0008-0000-14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27</xdr:row>
      <xdr:rowOff>8659</xdr:rowOff>
    </xdr:from>
    <xdr:to>
      <xdr:col>9</xdr:col>
      <xdr:colOff>1272886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id="{00000000-0008-0000-14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28</xdr:row>
      <xdr:rowOff>13854</xdr:rowOff>
    </xdr:from>
    <xdr:to>
      <xdr:col>9</xdr:col>
      <xdr:colOff>1278081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id="{00000000-0008-0000-14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31</xdr:row>
      <xdr:rowOff>8659</xdr:rowOff>
    </xdr:from>
    <xdr:to>
      <xdr:col>5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id="{00000000-0008-0000-14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1281544</xdr:colOff>
      <xdr:row>34</xdr:row>
      <xdr:rowOff>17895</xdr:rowOff>
    </xdr:from>
    <xdr:to>
      <xdr:col>9</xdr:col>
      <xdr:colOff>1281544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id="{00000000-0008-0000-14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37</xdr:row>
      <xdr:rowOff>8659</xdr:rowOff>
    </xdr:from>
    <xdr:to>
      <xdr:col>9</xdr:col>
      <xdr:colOff>1290205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id="{00000000-0008-0000-14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34</xdr:row>
      <xdr:rowOff>8658</xdr:rowOff>
    </xdr:from>
    <xdr:to>
      <xdr:col>5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id="{00000000-0008-0000-14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36</xdr:row>
      <xdr:rowOff>5195</xdr:rowOff>
    </xdr:from>
    <xdr:to>
      <xdr:col>9</xdr:col>
      <xdr:colOff>1278081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id="{00000000-0008-0000-14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33</xdr:row>
      <xdr:rowOff>10391</xdr:rowOff>
    </xdr:from>
    <xdr:to>
      <xdr:col>5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id="{00000000-0008-0000-14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33</xdr:row>
      <xdr:rowOff>8659</xdr:rowOff>
    </xdr:from>
    <xdr:to>
      <xdr:col>9</xdr:col>
      <xdr:colOff>1272887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id="{00000000-0008-0000-14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37</xdr:row>
      <xdr:rowOff>5194</xdr:rowOff>
    </xdr:from>
    <xdr:to>
      <xdr:col>5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id="{00000000-0008-0000-14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35</xdr:row>
      <xdr:rowOff>10391</xdr:rowOff>
    </xdr:from>
    <xdr:to>
      <xdr:col>9</xdr:col>
      <xdr:colOff>1274619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id="{00000000-0008-0000-14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4040</xdr:colOff>
      <xdr:row>35</xdr:row>
      <xdr:rowOff>13279</xdr:rowOff>
    </xdr:from>
    <xdr:to>
      <xdr:col>5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id="{00000000-0008-0000-14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5</xdr:col>
      <xdr:colOff>577</xdr:colOff>
      <xdr:row>36</xdr:row>
      <xdr:rowOff>9815</xdr:rowOff>
    </xdr:from>
    <xdr:to>
      <xdr:col>5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id="{00000000-0008-0000-14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9</xdr:col>
      <xdr:colOff>1269975</xdr:colOff>
      <xdr:row>41</xdr:row>
      <xdr:rowOff>11706</xdr:rowOff>
    </xdr:from>
    <xdr:to>
      <xdr:col>9</xdr:col>
      <xdr:colOff>1269975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id="{00000000-0008-0000-14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43</xdr:row>
      <xdr:rowOff>8659</xdr:rowOff>
    </xdr:from>
    <xdr:to>
      <xdr:col>9</xdr:col>
      <xdr:colOff>1272887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id="{00000000-0008-0000-14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38</xdr:row>
      <xdr:rowOff>8660</xdr:rowOff>
    </xdr:from>
    <xdr:to>
      <xdr:col>9</xdr:col>
      <xdr:colOff>1281545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id="{00000000-0008-0000-14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5194</xdr:colOff>
      <xdr:row>40</xdr:row>
      <xdr:rowOff>5196</xdr:rowOff>
    </xdr:from>
    <xdr:to>
      <xdr:col>5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id="{00000000-0008-0000-14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1730</xdr:colOff>
      <xdr:row>42</xdr:row>
      <xdr:rowOff>10392</xdr:rowOff>
    </xdr:from>
    <xdr:to>
      <xdr:col>5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id="{00000000-0008-0000-14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8658</xdr:colOff>
      <xdr:row>47</xdr:row>
      <xdr:rowOff>13279</xdr:rowOff>
    </xdr:from>
    <xdr:to>
      <xdr:col>5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id="{00000000-0008-0000-14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48</xdr:row>
      <xdr:rowOff>8659</xdr:rowOff>
    </xdr:from>
    <xdr:to>
      <xdr:col>9</xdr:col>
      <xdr:colOff>1272887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id="{00000000-0008-0000-14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39</xdr:row>
      <xdr:rowOff>8659</xdr:rowOff>
    </xdr:from>
    <xdr:to>
      <xdr:col>5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id="{00000000-0008-0000-14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41</xdr:row>
      <xdr:rowOff>5196</xdr:rowOff>
    </xdr:from>
    <xdr:to>
      <xdr:col>5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id="{00000000-0008-0000-14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42</xdr:row>
      <xdr:rowOff>10391</xdr:rowOff>
    </xdr:from>
    <xdr:to>
      <xdr:col>9</xdr:col>
      <xdr:colOff>1274618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id="{00000000-0008-0000-14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39</xdr:row>
      <xdr:rowOff>8660</xdr:rowOff>
    </xdr:from>
    <xdr:to>
      <xdr:col>9</xdr:col>
      <xdr:colOff>1290205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id="{00000000-0008-0000-14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40</xdr:row>
      <xdr:rowOff>5196</xdr:rowOff>
    </xdr:from>
    <xdr:to>
      <xdr:col>9</xdr:col>
      <xdr:colOff>1278083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id="{00000000-0008-0000-14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43</xdr:row>
      <xdr:rowOff>8659</xdr:rowOff>
    </xdr:from>
    <xdr:to>
      <xdr:col>5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id="{00000000-0008-0000-14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46</xdr:row>
      <xdr:rowOff>8659</xdr:rowOff>
    </xdr:from>
    <xdr:to>
      <xdr:col>5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id="{00000000-0008-0000-14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44</xdr:row>
      <xdr:rowOff>5195</xdr:rowOff>
    </xdr:from>
    <xdr:to>
      <xdr:col>9</xdr:col>
      <xdr:colOff>1278082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id="{00000000-0008-0000-14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48</xdr:row>
      <xdr:rowOff>8659</xdr:rowOff>
    </xdr:from>
    <xdr:to>
      <xdr:col>5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id="{00000000-0008-0000-14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45</xdr:row>
      <xdr:rowOff>8659</xdr:rowOff>
    </xdr:from>
    <xdr:to>
      <xdr:col>9</xdr:col>
      <xdr:colOff>1281546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id="{00000000-0008-0000-14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46</xdr:row>
      <xdr:rowOff>8659</xdr:rowOff>
    </xdr:from>
    <xdr:to>
      <xdr:col>9</xdr:col>
      <xdr:colOff>1281545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id="{00000000-0008-0000-14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49</xdr:row>
      <xdr:rowOff>8659</xdr:rowOff>
    </xdr:from>
    <xdr:to>
      <xdr:col>5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id="{00000000-0008-0000-14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5</xdr:col>
      <xdr:colOff>155864</xdr:colOff>
      <xdr:row>0</xdr:row>
      <xdr:rowOff>0</xdr:rowOff>
    </xdr:from>
    <xdr:to>
      <xdr:col>5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id="{00000000-0008-0000-14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158659</xdr:colOff>
      <xdr:row>0</xdr:row>
      <xdr:rowOff>0</xdr:rowOff>
    </xdr:from>
    <xdr:to>
      <xdr:col>5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id="{00000000-0008-0000-14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161455</xdr:colOff>
      <xdr:row>0</xdr:row>
      <xdr:rowOff>0</xdr:rowOff>
    </xdr:from>
    <xdr:to>
      <xdr:col>5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id="{00000000-0008-0000-14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J72"/>
  <sheetViews>
    <sheetView workbookViewId="0">
      <selection activeCell="A20" sqref="A20"/>
    </sheetView>
  </sheetViews>
  <sheetFormatPr defaultRowHeight="15" x14ac:dyDescent="0.2"/>
  <cols>
    <col min="1" max="1" width="48.42578125" bestFit="1" customWidth="1"/>
    <col min="2" max="2" width="9.14453125" customWidth="1"/>
    <col min="3" max="3" width="10.22265625" bestFit="1" customWidth="1"/>
    <col min="9" max="9" width="48.42578125" bestFit="1" customWidth="1"/>
  </cols>
  <sheetData>
    <row r="1" spans="1:9" x14ac:dyDescent="0.2">
      <c r="A1" s="319" t="s">
        <v>175</v>
      </c>
      <c r="B1" s="319" t="s">
        <v>187</v>
      </c>
      <c r="C1" s="319" t="s">
        <v>188</v>
      </c>
      <c r="F1" s="319" t="s">
        <v>277</v>
      </c>
      <c r="G1" s="319" t="s">
        <v>278</v>
      </c>
      <c r="I1" s="319" t="s">
        <v>172</v>
      </c>
    </row>
    <row r="2" spans="1:9" x14ac:dyDescent="0.2">
      <c r="A2" t="s">
        <v>184</v>
      </c>
      <c r="B2" s="325" t="s">
        <v>280</v>
      </c>
      <c r="C2">
        <f>SUM(Adalberto!$L$3:$M$50)+SUM(Adalberto!$Q$3:$Q$50)</f>
        <v>35</v>
      </c>
    </row>
    <row r="3" spans="1:9" x14ac:dyDescent="0.2">
      <c r="A3" t="s">
        <v>227</v>
      </c>
      <c r="B3" s="325" t="s">
        <v>280</v>
      </c>
      <c r="C3">
        <f>SUM(Adriano!$L$3:$M$50)+SUM(Adriano!$Q$3:$Q$50)</f>
        <v>20</v>
      </c>
    </row>
    <row r="4" spans="1:9" x14ac:dyDescent="0.2">
      <c r="A4" t="s">
        <v>180</v>
      </c>
      <c r="B4" s="325" t="s">
        <v>280</v>
      </c>
      <c r="C4">
        <f>SUM(Albenice!$L$3:$M$50)+SUM(Albenice!$Q$3:$Q$50)</f>
        <v>40</v>
      </c>
    </row>
    <row r="5" spans="1:9" x14ac:dyDescent="0.2">
      <c r="A5" t="s">
        <v>182</v>
      </c>
      <c r="B5" s="325" t="s">
        <v>280</v>
      </c>
      <c r="C5">
        <f>SUM(Andrea!$L$3:$M$50)+SUM(Andrea!$Q$3:$Q$50)</f>
        <v>25</v>
      </c>
    </row>
    <row r="6" spans="1:9" x14ac:dyDescent="0.2">
      <c r="A6" t="s">
        <v>223</v>
      </c>
      <c r="B6" s="325" t="s">
        <v>280</v>
      </c>
      <c r="C6">
        <f>SUM(Aurea!$L$3:$M$50)+SUM(Aurea!$Q$3:$Q$50)</f>
        <v>15</v>
      </c>
    </row>
    <row r="7" spans="1:9" x14ac:dyDescent="0.2">
      <c r="A7" t="s">
        <v>224</v>
      </c>
      <c r="B7" s="325" t="s">
        <v>280</v>
      </c>
      <c r="C7">
        <f>SUM(Claudio!$L$3:$M$50)+SUM(Claudio!$Q$3:$Q$50)</f>
        <v>25</v>
      </c>
    </row>
    <row r="8" spans="1:9" x14ac:dyDescent="0.2">
      <c r="A8" t="s">
        <v>185</v>
      </c>
      <c r="B8" s="325" t="s">
        <v>280</v>
      </c>
      <c r="C8">
        <f>SUM(Denise!$L$3:$M$50)+SUM(Denise!$Q$3:$Q$50)</f>
        <v>25</v>
      </c>
    </row>
    <row r="9" spans="1:9" x14ac:dyDescent="0.2">
      <c r="A9" t="s">
        <v>181</v>
      </c>
      <c r="B9" s="325" t="s">
        <v>280</v>
      </c>
      <c r="C9">
        <f>SUM(Eduardo!$L$3:$M$50)+SUM(Eduardo!$Q$3:$Q$50)</f>
        <v>20</v>
      </c>
    </row>
    <row r="10" spans="1:9" x14ac:dyDescent="0.2">
      <c r="A10" t="s">
        <v>225</v>
      </c>
      <c r="B10" s="325" t="s">
        <v>280</v>
      </c>
      <c r="C10">
        <f>SUM(Flavio!$L$3:$M$50)+SUM(Flavio!$Q$3:$Q$50)</f>
        <v>20</v>
      </c>
    </row>
    <row r="11" spans="1:9" x14ac:dyDescent="0.2">
      <c r="A11" t="s">
        <v>176</v>
      </c>
      <c r="B11" s="325" t="s">
        <v>280</v>
      </c>
      <c r="C11">
        <f>SUM(George!$L$3:$M$50)+SUM(George!$Q$3:$Q$50)</f>
        <v>10</v>
      </c>
    </row>
    <row r="12" spans="1:9" x14ac:dyDescent="0.2">
      <c r="A12" t="s">
        <v>186</v>
      </c>
      <c r="B12" s="325" t="s">
        <v>279</v>
      </c>
      <c r="C12">
        <f>SUM(Germano!$L$3:$M$50)+SUM(Germano!$Q$3:$Q$50)</f>
        <v>45</v>
      </c>
    </row>
    <row r="13" spans="1:9" x14ac:dyDescent="0.2">
      <c r="A13" t="s">
        <v>183</v>
      </c>
      <c r="B13" s="390" t="s">
        <v>280</v>
      </c>
      <c r="C13">
        <f>SUM(Girlayne!$L$3:$M$50)+SUM(Girlayne!$Q$3:$Q$50)</f>
        <v>20</v>
      </c>
    </row>
    <row r="14" spans="1:9" x14ac:dyDescent="0.2">
      <c r="A14" t="s">
        <v>226</v>
      </c>
      <c r="B14" s="325" t="s">
        <v>280</v>
      </c>
      <c r="C14">
        <f>SUM(Laurindo!$L$3:$M$50)+SUM(Laurindo!$Q$3:$Q$50)</f>
        <v>30</v>
      </c>
    </row>
    <row r="15" spans="1:9" x14ac:dyDescent="0.2">
      <c r="A15" t="s">
        <v>177</v>
      </c>
      <c r="B15" s="325" t="s">
        <v>280</v>
      </c>
      <c r="C15">
        <f>SUM(Marcus!$L$3:$M$50)+SUM(Marcus!$Q$3:$Q$50)</f>
        <v>15</v>
      </c>
    </row>
    <row r="16" spans="1:9" x14ac:dyDescent="0.2">
      <c r="A16" t="s">
        <v>228</v>
      </c>
      <c r="B16" s="325" t="s">
        <v>280</v>
      </c>
      <c r="C16">
        <f>SUM(Priscilla!$L$3:$M$50)+SUM(Priscilla!$Q$3:$Q$50)</f>
        <v>25</v>
      </c>
    </row>
    <row r="17" spans="1:10" x14ac:dyDescent="0.2">
      <c r="A17" t="s">
        <v>179</v>
      </c>
      <c r="B17" s="325" t="s">
        <v>280</v>
      </c>
      <c r="C17">
        <f>SUM(Rubiane!$L$3:$M$50)+SUM(Rubiane!$Q$3:$Q$50)</f>
        <v>30</v>
      </c>
    </row>
    <row r="18" spans="1:10" x14ac:dyDescent="0.2">
      <c r="A18" t="s">
        <v>178</v>
      </c>
      <c r="B18" s="325" t="s">
        <v>280</v>
      </c>
      <c r="C18">
        <f>SUM(Silvia!$L$3:$M$50)+SUM(Silvia!$Q$3:$Q$50)</f>
        <v>30</v>
      </c>
    </row>
    <row r="25" spans="1:10" x14ac:dyDescent="0.2">
      <c r="F25" t="str">
        <f>IF(Copa2022!F11="","",IF(Copa2022!F11=Copa2022!H11,"empate",IF(Copa2022!F11&gt;Copa2022!H11,Copa2022!E11,Copa2022!I11)))</f>
        <v>Equador</v>
      </c>
      <c r="G25" t="s">
        <v>229</v>
      </c>
      <c r="I25" t="s">
        <v>165</v>
      </c>
      <c r="J25">
        <v>10</v>
      </c>
    </row>
    <row r="26" spans="1:10" x14ac:dyDescent="0.2">
      <c r="F26" t="str">
        <f>IF(Copa2022!F12="","",IF(Copa2022!F12=Copa2022!H12,"empate",IF(Copa2022!F12&gt;Copa2022!H12,Copa2022!E12,Copa2022!I12)))</f>
        <v>Holanda</v>
      </c>
      <c r="G26" t="s">
        <v>230</v>
      </c>
      <c r="I26" t="s">
        <v>166</v>
      </c>
      <c r="J26">
        <v>5</v>
      </c>
    </row>
    <row r="27" spans="1:10" x14ac:dyDescent="0.2">
      <c r="F27" t="str">
        <f>IF(Copa2022!F13="","",IF(Copa2022!F13=Copa2022!H13,"empate",IF(Copa2022!F13&gt;Copa2022!H13,Copa2022!E13,Copa2022!I13)))</f>
        <v/>
      </c>
      <c r="G27" t="s">
        <v>231</v>
      </c>
      <c r="I27" t="s">
        <v>167</v>
      </c>
      <c r="J27">
        <v>15</v>
      </c>
    </row>
    <row r="28" spans="1:10" x14ac:dyDescent="0.2">
      <c r="F28" t="str">
        <f>IF(Copa2022!F14="","",IF(Copa2022!F14=Copa2022!H14,"empate",IF(Copa2022!F14&gt;Copa2022!H14,Copa2022!E14,Copa2022!I14)))</f>
        <v/>
      </c>
      <c r="G28" t="s">
        <v>232</v>
      </c>
      <c r="I28" s="319" t="s">
        <v>173</v>
      </c>
    </row>
    <row r="29" spans="1:10" x14ac:dyDescent="0.2">
      <c r="F29" t="str">
        <f>IF(Copa2022!F15="","",IF(Copa2022!F15=Copa2022!H15,"empate",IF(Copa2022!F15&gt;Copa2022!H15,Copa2022!E15,Copa2022!I15)))</f>
        <v/>
      </c>
      <c r="G29" t="s">
        <v>233</v>
      </c>
      <c r="I29" t="s">
        <v>170</v>
      </c>
      <c r="J29">
        <v>25</v>
      </c>
    </row>
    <row r="30" spans="1:10" x14ac:dyDescent="0.2">
      <c r="F30" t="str">
        <f>IF(Copa2022!F16="","",IF(Copa2022!F16=Copa2022!H16,"empate",IF(Copa2022!F16&gt;Copa2022!H16,Copa2022!E16,Copa2022!I16)))</f>
        <v/>
      </c>
      <c r="G30" t="s">
        <v>234</v>
      </c>
      <c r="I30" t="s">
        <v>171</v>
      </c>
      <c r="J30">
        <v>10</v>
      </c>
    </row>
    <row r="31" spans="1:10" x14ac:dyDescent="0.2">
      <c r="F31" t="str">
        <f>IF(Copa2022!F17="","",IF(Copa2022!F17=Copa2022!H17,"empate",IF(Copa2022!F17&gt;Copa2022!H17,Copa2022!E17,Copa2022!I17)))</f>
        <v>Inglaterra</v>
      </c>
      <c r="G31" t="s">
        <v>235</v>
      </c>
      <c r="I31" t="s">
        <v>174</v>
      </c>
      <c r="J31">
        <v>5</v>
      </c>
    </row>
    <row r="32" spans="1:10" x14ac:dyDescent="0.2">
      <c r="F32" t="str">
        <f>IF(Copa2022!F18="","",IF(Copa2022!F18=Copa2022!H18,"empate",IF(Copa2022!F18&gt;Copa2022!H18,Copa2022!E18,Copa2022!I18)))</f>
        <v>empate</v>
      </c>
      <c r="G32" t="s">
        <v>236</v>
      </c>
      <c r="I32" t="s">
        <v>168</v>
      </c>
      <c r="J32">
        <v>50</v>
      </c>
    </row>
    <row r="33" spans="6:10" x14ac:dyDescent="0.2">
      <c r="F33" t="str">
        <f>IF(Copa2022!F19="","",IF(Copa2022!F19=Copa2022!H19,"empate",IF(Copa2022!F19&gt;Copa2022!H19,Copa2022!E19,Copa2022!I19)))</f>
        <v/>
      </c>
      <c r="G33" t="s">
        <v>237</v>
      </c>
      <c r="I33" t="s">
        <v>169</v>
      </c>
      <c r="J33">
        <v>30</v>
      </c>
    </row>
    <row r="34" spans="6:10" x14ac:dyDescent="0.2">
      <c r="F34" t="str">
        <f>IF(Copa2022!F20="","",IF(Copa2022!F20=Copa2022!H20,"empate",IF(Copa2022!F20&gt;Copa2022!H20,Copa2022!E20,Copa2022!I20)))</f>
        <v/>
      </c>
      <c r="G34" t="s">
        <v>238</v>
      </c>
    </row>
    <row r="35" spans="6:10" x14ac:dyDescent="0.2">
      <c r="F35" t="str">
        <f>IF(Copa2022!F21="","",IF(Copa2022!F21=Copa2022!H21,"empate",IF(Copa2022!F21&gt;Copa2022!H21,Copa2022!E21,Copa2022!I21)))</f>
        <v/>
      </c>
      <c r="G35" t="s">
        <v>239</v>
      </c>
    </row>
    <row r="36" spans="6:10" x14ac:dyDescent="0.2">
      <c r="F36" t="str">
        <f>IF(Copa2022!F22="","",IF(Copa2022!F22=Copa2022!H22,"empate",IF(Copa2022!F22&gt;Copa2022!H22,Copa2022!E22,Copa2022!I22)))</f>
        <v/>
      </c>
      <c r="G36" t="s">
        <v>240</v>
      </c>
    </row>
    <row r="37" spans="6:10" x14ac:dyDescent="0.2">
      <c r="F37" t="str">
        <f>IF(Copa2022!F23="","",IF(Copa2022!F23=Copa2022!H23,"empate",IF(Copa2022!F23&gt;Copa2022!H23,Copa2022!E23,Copa2022!I23)))</f>
        <v>Arábia Saudita</v>
      </c>
      <c r="G37" t="s">
        <v>241</v>
      </c>
    </row>
    <row r="38" spans="6:10" x14ac:dyDescent="0.2">
      <c r="F38" t="str">
        <f>IF(Copa2022!F24="","",IF(Copa2022!F24=Copa2022!H24,"empate",IF(Copa2022!F24&gt;Copa2022!H24,Copa2022!E24,Copa2022!I24)))</f>
        <v>empate</v>
      </c>
      <c r="G38" t="s">
        <v>242</v>
      </c>
    </row>
    <row r="39" spans="6:10" x14ac:dyDescent="0.2">
      <c r="F39" t="str">
        <f>IF(Copa2022!F25="","",IF(Copa2022!F25=Copa2022!H25,"empate",IF(Copa2022!F25&gt;Copa2022!H25,Copa2022!E25,Copa2022!I25)))</f>
        <v/>
      </c>
      <c r="G39" t="s">
        <v>243</v>
      </c>
    </row>
    <row r="40" spans="6:10" x14ac:dyDescent="0.2">
      <c r="F40" t="str">
        <f>IF(Copa2022!F26="","",IF(Copa2022!F26=Copa2022!H26,"empate",IF(Copa2022!F26&gt;Copa2022!H26,Copa2022!E26,Copa2022!I26)))</f>
        <v/>
      </c>
      <c r="G40" t="s">
        <v>244</v>
      </c>
    </row>
    <row r="41" spans="6:10" x14ac:dyDescent="0.2">
      <c r="F41" t="str">
        <f>IF(Copa2022!F27="","",IF(Copa2022!F27=Copa2022!H27,"empate",IF(Copa2022!F27&gt;Copa2022!H27,Copa2022!E27,Copa2022!I27)))</f>
        <v/>
      </c>
      <c r="G41" t="s">
        <v>245</v>
      </c>
    </row>
    <row r="42" spans="6:10" x14ac:dyDescent="0.2">
      <c r="F42" t="str">
        <f>IF(Copa2022!F28="","",IF(Copa2022!F28=Copa2022!H28,"empate",IF(Copa2022!F28&gt;Copa2022!H28,Copa2022!E28,Copa2022!I28)))</f>
        <v/>
      </c>
      <c r="G42" t="s">
        <v>246</v>
      </c>
    </row>
    <row r="43" spans="6:10" x14ac:dyDescent="0.2">
      <c r="F43" t="str">
        <f>IF(Copa2022!F29="","",IF(Copa2022!F29=Copa2022!H29,"empate",IF(Copa2022!F29&gt;Copa2022!H29,Copa2022!E29,Copa2022!I29)))</f>
        <v>empate</v>
      </c>
      <c r="G43" t="s">
        <v>247</v>
      </c>
    </row>
    <row r="44" spans="6:10" x14ac:dyDescent="0.2">
      <c r="F44" t="str">
        <f>IF(Copa2022!F30="","",IF(Copa2022!F30=Copa2022!H30,"empate",IF(Copa2022!F30&gt;Copa2022!H30,Copa2022!E30,Copa2022!I30)))</f>
        <v>França</v>
      </c>
      <c r="G44" t="s">
        <v>248</v>
      </c>
    </row>
    <row r="45" spans="6:10" x14ac:dyDescent="0.2">
      <c r="F45" t="str">
        <f>IF(Copa2022!F31="","",IF(Copa2022!F31=Copa2022!H31,"empate",IF(Copa2022!F31&gt;Copa2022!H31,Copa2022!E31,Copa2022!I31)))</f>
        <v/>
      </c>
      <c r="G45" t="s">
        <v>249</v>
      </c>
    </row>
    <row r="46" spans="6:10" x14ac:dyDescent="0.2">
      <c r="F46" t="str">
        <f>IF(Copa2022!F32="","",IF(Copa2022!F32=Copa2022!H32,"empate",IF(Copa2022!F32&gt;Copa2022!H32,Copa2022!E32,Copa2022!I32)))</f>
        <v/>
      </c>
      <c r="G46" t="s">
        <v>250</v>
      </c>
    </row>
    <row r="47" spans="6:10" x14ac:dyDescent="0.2">
      <c r="F47" t="str">
        <f>IF(Copa2022!F33="","",IF(Copa2022!F33=Copa2022!H33,"empate",IF(Copa2022!F33&gt;Copa2022!H33,Copa2022!E33,Copa2022!I33)))</f>
        <v/>
      </c>
      <c r="G47" t="s">
        <v>251</v>
      </c>
    </row>
    <row r="48" spans="6:10" x14ac:dyDescent="0.2">
      <c r="F48" t="str">
        <f>IF(Copa2022!F34="","",IF(Copa2022!F34=Copa2022!H34,"empate",IF(Copa2022!F34&gt;Copa2022!H34,Copa2022!E34,Copa2022!I34)))</f>
        <v/>
      </c>
      <c r="G48" t="s">
        <v>252</v>
      </c>
    </row>
    <row r="49" spans="6:7" x14ac:dyDescent="0.2">
      <c r="F49" t="str">
        <f>IF(Copa2022!F35="","",IF(Copa2022!F35=Copa2022!H35,"empate",IF(Copa2022!F35&gt;Copa2022!H35,Copa2022!E35,Copa2022!I35)))</f>
        <v/>
      </c>
      <c r="G49" t="s">
        <v>253</v>
      </c>
    </row>
    <row r="50" spans="6:7" x14ac:dyDescent="0.2">
      <c r="F50" t="str">
        <f>IF(Copa2022!F36="","",IF(Copa2022!F36=Copa2022!H36,"empate",IF(Copa2022!F36&gt;Copa2022!H36,Copa2022!E36,Copa2022!I36)))</f>
        <v/>
      </c>
      <c r="G50" t="s">
        <v>254</v>
      </c>
    </row>
    <row r="51" spans="6:7" x14ac:dyDescent="0.2">
      <c r="F51" t="str">
        <f>IF(Copa2022!F37="","",IF(Copa2022!F37=Copa2022!H37,"empate",IF(Copa2022!F37&gt;Copa2022!H37,Copa2022!E37,Copa2022!I37)))</f>
        <v/>
      </c>
      <c r="G51" t="s">
        <v>255</v>
      </c>
    </row>
    <row r="52" spans="6:7" x14ac:dyDescent="0.2">
      <c r="F52" t="str">
        <f>IF(Copa2022!F38="","",IF(Copa2022!F38=Copa2022!H38,"empate",IF(Copa2022!F38&gt;Copa2022!H38,Copa2022!E38,Copa2022!I38)))</f>
        <v/>
      </c>
      <c r="G52" t="s">
        <v>256</v>
      </c>
    </row>
    <row r="53" spans="6:7" x14ac:dyDescent="0.2">
      <c r="F53" t="str">
        <f>IF(Copa2022!F39="","",IF(Copa2022!F39=Copa2022!H39,"empate",IF(Copa2022!F39&gt;Copa2022!H39,Copa2022!E39,Copa2022!I39)))</f>
        <v/>
      </c>
      <c r="G53" t="s">
        <v>257</v>
      </c>
    </row>
    <row r="54" spans="6:7" x14ac:dyDescent="0.2">
      <c r="F54" t="str">
        <f>IF(Copa2022!F40="","",IF(Copa2022!F40=Copa2022!H40,"empate",IF(Copa2022!F40&gt;Copa2022!H40,Copa2022!E40,Copa2022!I40)))</f>
        <v/>
      </c>
      <c r="G54" t="s">
        <v>258</v>
      </c>
    </row>
    <row r="55" spans="6:7" x14ac:dyDescent="0.2">
      <c r="F55" t="str">
        <f>IF(Copa2022!F41="","",IF(Copa2022!F41=Copa2022!H41,"empate",IF(Copa2022!F41&gt;Copa2022!H41,Copa2022!E41,Copa2022!I41)))</f>
        <v/>
      </c>
      <c r="G55" t="s">
        <v>259</v>
      </c>
    </row>
    <row r="56" spans="6:7" x14ac:dyDescent="0.2">
      <c r="F56" t="str">
        <f>IF(Copa2022!F42="","",IF(Copa2022!F42=Copa2022!H42,"empate",IF(Copa2022!F42&gt;Copa2022!H42,Copa2022!E42,Copa2022!I42)))</f>
        <v/>
      </c>
      <c r="G56" t="s">
        <v>260</v>
      </c>
    </row>
    <row r="57" spans="6:7" x14ac:dyDescent="0.2">
      <c r="F57" t="str">
        <f>IF(Copa2022!F43="","",IF(Copa2022!F43=Copa2022!H43,"empate",IF(Copa2022!F43&gt;Copa2022!H43,Copa2022!E43,Copa2022!I43)))</f>
        <v/>
      </c>
      <c r="G57" t="s">
        <v>261</v>
      </c>
    </row>
    <row r="58" spans="6:7" x14ac:dyDescent="0.2">
      <c r="F58" t="str">
        <f>IF(Copa2022!F44="","",IF(Copa2022!F44=Copa2022!H44,"empate",IF(Copa2022!F44&gt;Copa2022!H44,Copa2022!E44,Copa2022!I44)))</f>
        <v/>
      </c>
      <c r="G58" t="s">
        <v>262</v>
      </c>
    </row>
    <row r="59" spans="6:7" x14ac:dyDescent="0.2">
      <c r="F59" t="str">
        <f>IF(Copa2022!F45="","",IF(Copa2022!F45=Copa2022!H45,"empate",IF(Copa2022!F45&gt;Copa2022!H45,Copa2022!E45,Copa2022!I45)))</f>
        <v/>
      </c>
      <c r="G59" t="s">
        <v>263</v>
      </c>
    </row>
    <row r="60" spans="6:7" x14ac:dyDescent="0.2">
      <c r="F60" t="str">
        <f>IF(Copa2022!F46="","",IF(Copa2022!F46=Copa2022!H46,"empate",IF(Copa2022!F46&gt;Copa2022!H46,Copa2022!E46,Copa2022!I46)))</f>
        <v/>
      </c>
      <c r="G60" t="s">
        <v>264</v>
      </c>
    </row>
    <row r="61" spans="6:7" x14ac:dyDescent="0.2">
      <c r="F61" t="str">
        <f>IF(Copa2022!F47="","",IF(Copa2022!F47=Copa2022!H47,"empate",IF(Copa2022!F47&gt;Copa2022!H47,Copa2022!E47,Copa2022!I47)))</f>
        <v/>
      </c>
      <c r="G61" t="s">
        <v>265</v>
      </c>
    </row>
    <row r="62" spans="6:7" x14ac:dyDescent="0.2">
      <c r="F62" t="str">
        <f>IF(Copa2022!F48="","",IF(Copa2022!F48=Copa2022!H48,"empate",IF(Copa2022!F48&gt;Copa2022!H48,Copa2022!E48,Copa2022!I48)))</f>
        <v/>
      </c>
      <c r="G62" t="s">
        <v>266</v>
      </c>
    </row>
    <row r="63" spans="6:7" x14ac:dyDescent="0.2">
      <c r="F63" t="str">
        <f>IF(Copa2022!F49="","",IF(Copa2022!F49=Copa2022!H49,"empate",IF(Copa2022!F49&gt;Copa2022!H49,Copa2022!E49,Copa2022!I49)))</f>
        <v/>
      </c>
      <c r="G63" t="s">
        <v>267</v>
      </c>
    </row>
    <row r="64" spans="6:7" x14ac:dyDescent="0.2">
      <c r="F64" t="str">
        <f>IF(Copa2022!F50="","",IF(Copa2022!F50=Copa2022!H50,"empate",IF(Copa2022!F50&gt;Copa2022!H50,Copa2022!E50,Copa2022!I50)))</f>
        <v/>
      </c>
      <c r="G64" t="s">
        <v>268</v>
      </c>
    </row>
    <row r="65" spans="6:7" x14ac:dyDescent="0.2">
      <c r="F65" t="str">
        <f>IF(Copa2022!F51="","",IF(Copa2022!F51=Copa2022!H51,"empate",IF(Copa2022!F51&gt;Copa2022!H51,Copa2022!E51,Copa2022!I51)))</f>
        <v/>
      </c>
      <c r="G65" t="s">
        <v>269</v>
      </c>
    </row>
    <row r="66" spans="6:7" x14ac:dyDescent="0.2">
      <c r="F66" t="str">
        <f>IF(Copa2022!F52="","",IF(Copa2022!F52=Copa2022!H52,"empate",IF(Copa2022!F52&gt;Copa2022!H52,Copa2022!E52,Copa2022!I52)))</f>
        <v/>
      </c>
      <c r="G66" t="s">
        <v>270</v>
      </c>
    </row>
    <row r="67" spans="6:7" x14ac:dyDescent="0.2">
      <c r="F67" t="str">
        <f>IF(Copa2022!F53="","",IF(Copa2022!F53=Copa2022!H53,"empate",IF(Copa2022!F53&gt;Copa2022!H53,Copa2022!E53,Copa2022!I53)))</f>
        <v/>
      </c>
      <c r="G67" t="s">
        <v>271</v>
      </c>
    </row>
    <row r="68" spans="6:7" x14ac:dyDescent="0.2">
      <c r="F68" t="str">
        <f>IF(Copa2022!F54="","",IF(Copa2022!F54=Copa2022!H54,"empate",IF(Copa2022!F54&gt;Copa2022!H54,Copa2022!E54,Copa2022!I54)))</f>
        <v/>
      </c>
      <c r="G68" t="s">
        <v>272</v>
      </c>
    </row>
    <row r="69" spans="6:7" x14ac:dyDescent="0.2">
      <c r="F69" t="str">
        <f>IF(Copa2022!F55="","",IF(Copa2022!F55=Copa2022!H55,"empate",IF(Copa2022!F55&gt;Copa2022!H55,Copa2022!E55,Copa2022!I55)))</f>
        <v/>
      </c>
      <c r="G69" t="s">
        <v>273</v>
      </c>
    </row>
    <row r="70" spans="6:7" x14ac:dyDescent="0.2">
      <c r="F70" t="str">
        <f>IF(Copa2022!F56="","",IF(Copa2022!F56=Copa2022!H56,"empate",IF(Copa2022!F56&gt;Copa2022!H56,Copa2022!E56,Copa2022!I56)))</f>
        <v/>
      </c>
      <c r="G70" t="s">
        <v>274</v>
      </c>
    </row>
    <row r="71" spans="6:7" x14ac:dyDescent="0.2">
      <c r="F71" t="str">
        <f>IF(Copa2022!F57="","",IF(Copa2022!F57=Copa2022!H57,"empate",IF(Copa2022!F57&gt;Copa2022!H57,Copa2022!E57,Copa2022!I57)))</f>
        <v/>
      </c>
      <c r="G71" t="s">
        <v>275</v>
      </c>
    </row>
    <row r="72" spans="6:7" x14ac:dyDescent="0.2">
      <c r="F72" t="str">
        <f>IF(Copa2022!F58="","",
IF(Copa2022!F58=Copa2022!H58,"empate",IF(Copa2022!F58&gt;Copa2022!H58,Copa2022!E58,Copa2022!I58)))</f>
        <v/>
      </c>
      <c r="G72" t="s">
        <v>276</v>
      </c>
    </row>
  </sheetData>
  <sortState xmlns:xlrd2="http://schemas.microsoft.com/office/spreadsheetml/2017/richdata2" ref="A2:C18">
    <sortCondition ref="A1"/>
  </sortState>
  <pageMargins left="0.511811024" right="0.511811024" top="0.78740157499999996" bottom="0.78740157499999996" header="0.31496062000000002" footer="0.31496062000000002"/>
  <pageSetup paperSize="9" orientation="portrait" r:id="rId1"/>
  <headerFooter>
    <oddFooter>&amp;L_x000D_&amp;1#&amp;"Calibri"&amp;10&amp;K008000 Classificação do documento: Público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HV125"/>
  <sheetViews>
    <sheetView showGridLines="0" showRowColHeaders="0" tabSelected="1" zoomScale="110" zoomScaleNormal="110" zoomScalePageLayoutView="89" workbookViewId="0">
      <pane ySplit="8" topLeftCell="A24" activePane="bottomLeft" state="frozen"/>
      <selection activeCell="E75" sqref="E75"/>
      <selection pane="bottomLeft" activeCell="H30" sqref="H30"/>
    </sheetView>
  </sheetViews>
  <sheetFormatPr defaultColWidth="0" defaultRowHeight="15.75" zeroHeight="1" x14ac:dyDescent="0.2"/>
  <cols>
    <col min="1" max="1" width="6.05078125" style="5" bestFit="1" customWidth="1"/>
    <col min="2" max="2" width="9.81640625" style="10" bestFit="1" customWidth="1"/>
    <col min="3" max="3" width="11.296875" style="10" customWidth="1"/>
    <col min="4" max="4" width="16.41015625" style="10" bestFit="1" customWidth="1"/>
    <col min="5" max="5" width="25.69140625" style="11" customWidth="1"/>
    <col min="6" max="6" width="2.6875" style="42" customWidth="1"/>
    <col min="7" max="7" width="2.6875" customWidth="1"/>
    <col min="8" max="8" width="2.6875" style="42" customWidth="1"/>
    <col min="9" max="9" width="25.69140625" style="12" customWidth="1"/>
    <col min="10" max="10" width="13.31640625" style="51" hidden="1" customWidth="1"/>
    <col min="11" max="12" width="3.2265625" customWidth="1"/>
    <col min="13" max="13" width="2.82421875" style="1" customWidth="1"/>
    <col min="14" max="14" width="2.015625" style="109" bestFit="1" customWidth="1"/>
    <col min="15" max="15" width="18.83203125" style="113" bestFit="1" customWidth="1"/>
    <col min="16" max="23" width="3.765625" style="109" customWidth="1"/>
    <col min="24" max="24" width="4.4375" style="1" customWidth="1"/>
    <col min="25" max="35" width="9.14453125" hidden="1" customWidth="1"/>
    <col min="36" max="36" width="8.47265625" hidden="1" customWidth="1"/>
    <col min="37" max="37" width="8.7421875" hidden="1" customWidth="1"/>
    <col min="38" max="38" width="10.0859375" hidden="1" customWidth="1"/>
    <col min="39" max="229" width="9.14453125" hidden="1" customWidth="1"/>
    <col min="230" max="230" width="7.26171875" hidden="1" customWidth="1"/>
    <col min="231" max="16384" width="9.14453125" hidden="1"/>
  </cols>
  <sheetData>
    <row r="1" spans="1:25" s="1" customFormat="1" ht="6.75" customHeight="1" thickBot="1" x14ac:dyDescent="0.25">
      <c r="A1" s="5"/>
      <c r="B1" s="2"/>
      <c r="C1" s="2"/>
      <c r="D1" s="2"/>
      <c r="E1" s="3"/>
      <c r="F1" s="40"/>
      <c r="H1" s="40"/>
      <c r="I1" s="4"/>
      <c r="J1" s="50"/>
      <c r="N1" s="109"/>
      <c r="O1" s="113"/>
      <c r="P1" s="109"/>
      <c r="Q1" s="109"/>
      <c r="R1" s="109"/>
      <c r="S1" s="109"/>
      <c r="T1" s="109"/>
      <c r="U1" s="109"/>
      <c r="V1" s="109"/>
      <c r="W1" s="109"/>
    </row>
    <row r="2" spans="1:25" s="1" customFormat="1" ht="15" x14ac:dyDescent="0.2">
      <c r="A2" s="5"/>
      <c r="B2" s="2"/>
      <c r="C2" s="2"/>
      <c r="D2" s="2"/>
      <c r="E2" s="146"/>
      <c r="F2" s="525"/>
      <c r="G2" s="519"/>
      <c r="H2" s="519"/>
      <c r="I2" s="519"/>
      <c r="J2" s="140"/>
      <c r="K2" s="143"/>
      <c r="L2" s="143"/>
      <c r="M2" s="143"/>
      <c r="N2" s="143"/>
      <c r="O2" s="143"/>
      <c r="P2" s="143"/>
      <c r="Q2" s="143"/>
      <c r="R2" s="143"/>
    </row>
    <row r="3" spans="1:25" s="1" customFormat="1" ht="15" x14ac:dyDescent="0.2">
      <c r="A3" s="5"/>
      <c r="B3" s="2"/>
      <c r="C3" s="2"/>
      <c r="D3" s="2"/>
      <c r="E3" s="146"/>
      <c r="F3" s="525"/>
      <c r="G3" s="519"/>
      <c r="H3" s="519"/>
      <c r="I3" s="519"/>
      <c r="J3" s="141"/>
      <c r="K3" s="143"/>
      <c r="L3" s="143"/>
      <c r="M3" s="143"/>
      <c r="N3" s="143"/>
      <c r="O3" s="143"/>
      <c r="P3" s="143"/>
      <c r="Q3" s="143"/>
      <c r="R3" s="143"/>
    </row>
    <row r="4" spans="1:25" s="1" customFormat="1" ht="15" x14ac:dyDescent="0.2">
      <c r="A4" s="5"/>
      <c r="B4" s="2"/>
      <c r="C4" s="2"/>
      <c r="D4" s="2"/>
      <c r="E4" s="146"/>
      <c r="F4" s="519"/>
      <c r="G4" s="519"/>
      <c r="H4" s="519"/>
      <c r="I4" s="519"/>
      <c r="J4" s="141"/>
      <c r="K4" s="143"/>
      <c r="L4" s="143"/>
      <c r="M4" s="143"/>
      <c r="N4" s="143"/>
      <c r="O4" s="143"/>
      <c r="P4" s="143"/>
      <c r="Q4" s="143"/>
      <c r="R4" s="143"/>
    </row>
    <row r="5" spans="1:25" s="1" customFormat="1" ht="15" x14ac:dyDescent="0.2">
      <c r="A5" s="5"/>
      <c r="B5" s="2"/>
      <c r="C5" s="2"/>
      <c r="D5" s="2"/>
      <c r="E5" s="146"/>
      <c r="F5" s="519"/>
      <c r="G5" s="519"/>
      <c r="H5" s="519"/>
      <c r="I5" s="519"/>
      <c r="J5" s="141"/>
      <c r="K5" s="143"/>
      <c r="L5" s="143"/>
      <c r="M5" s="143"/>
      <c r="N5" s="143"/>
      <c r="O5" s="143"/>
      <c r="P5" s="143"/>
      <c r="Q5" s="143"/>
      <c r="R5" s="143"/>
    </row>
    <row r="6" spans="1:25" s="1" customFormat="1" ht="15" x14ac:dyDescent="0.2">
      <c r="A6" s="5"/>
      <c r="B6" s="2"/>
      <c r="C6" s="2"/>
      <c r="D6" s="2"/>
      <c r="E6" s="146"/>
      <c r="F6" s="519"/>
      <c r="G6" s="519"/>
      <c r="H6" s="519"/>
      <c r="I6" s="519"/>
      <c r="J6" s="141"/>
      <c r="K6" s="143"/>
      <c r="L6" s="143"/>
      <c r="M6" s="143"/>
      <c r="N6" s="143"/>
      <c r="O6" s="143"/>
      <c r="P6" s="143"/>
      <c r="Q6" s="143"/>
      <c r="R6" s="143"/>
    </row>
    <row r="7" spans="1:25" s="1" customFormat="1" ht="19.5" customHeight="1" thickBot="1" x14ac:dyDescent="0.25">
      <c r="A7" s="5"/>
      <c r="B7" s="2"/>
      <c r="C7" s="2"/>
      <c r="D7" s="2"/>
      <c r="E7" s="147"/>
      <c r="F7" s="519"/>
      <c r="G7" s="519"/>
      <c r="H7" s="519"/>
      <c r="I7" s="519"/>
      <c r="J7" s="142"/>
      <c r="K7" s="144"/>
      <c r="L7" s="144"/>
      <c r="M7" s="144"/>
      <c r="N7" s="144"/>
      <c r="O7" s="144"/>
      <c r="P7" s="144"/>
      <c r="Q7" s="144"/>
      <c r="R7" s="144"/>
      <c r="Y7" s="145" t="str">
        <f>VLOOKUP(Y8,'Classificação 1ª fase'!L34:M66,2)</f>
        <v>Escolha uma seleção</v>
      </c>
    </row>
    <row r="8" spans="1:25" s="1" customFormat="1" ht="10.5" customHeight="1" thickBot="1" x14ac:dyDescent="0.25">
      <c r="A8" s="5"/>
      <c r="B8" s="2"/>
      <c r="C8" s="2"/>
      <c r="D8" s="2"/>
      <c r="E8" s="3"/>
      <c r="F8" s="40"/>
      <c r="H8" s="40"/>
      <c r="I8" s="4"/>
      <c r="J8" s="50"/>
      <c r="N8" s="109"/>
      <c r="O8" s="113"/>
      <c r="P8" s="109"/>
      <c r="Q8" s="109"/>
      <c r="R8" s="109"/>
      <c r="S8" s="109"/>
      <c r="T8" s="109"/>
      <c r="U8" s="109"/>
      <c r="V8" s="109"/>
      <c r="W8" s="109"/>
      <c r="Y8" s="116">
        <v>1</v>
      </c>
    </row>
    <row r="9" spans="1:25" s="58" customFormat="1" ht="15" customHeight="1" x14ac:dyDescent="0.2">
      <c r="A9" s="496" t="s">
        <v>94</v>
      </c>
      <c r="B9" s="498" t="s">
        <v>95</v>
      </c>
      <c r="C9" s="498" t="s">
        <v>74</v>
      </c>
      <c r="D9" s="500" t="s">
        <v>75</v>
      </c>
      <c r="E9" s="487" t="s">
        <v>96</v>
      </c>
      <c r="F9" s="488"/>
      <c r="G9" s="488"/>
      <c r="H9" s="488"/>
      <c r="I9" s="489"/>
      <c r="J9" s="51"/>
      <c r="K9" s="57"/>
      <c r="L9" s="57"/>
      <c r="M9" s="57"/>
      <c r="N9" s="63"/>
      <c r="O9" s="100"/>
      <c r="P9" s="63"/>
      <c r="Q9" s="63"/>
      <c r="R9" s="63"/>
      <c r="S9" s="63"/>
      <c r="T9" s="63"/>
      <c r="U9" s="63"/>
      <c r="V9" s="63"/>
      <c r="W9" s="63"/>
      <c r="X9" s="57"/>
    </row>
    <row r="10" spans="1:25" s="58" customFormat="1" ht="15.75" customHeight="1" thickBot="1" x14ac:dyDescent="0.25">
      <c r="A10" s="497"/>
      <c r="B10" s="499"/>
      <c r="C10" s="499"/>
      <c r="D10" s="501"/>
      <c r="E10" s="490"/>
      <c r="F10" s="491"/>
      <c r="G10" s="491"/>
      <c r="H10" s="491"/>
      <c r="I10" s="492"/>
      <c r="J10" s="51"/>
      <c r="K10" s="493"/>
      <c r="L10" s="494"/>
      <c r="M10" s="59"/>
      <c r="N10" s="62"/>
      <c r="O10" s="100"/>
      <c r="P10" s="63"/>
      <c r="Q10" s="63"/>
      <c r="R10" s="63"/>
      <c r="S10" s="63"/>
      <c r="T10" s="63"/>
      <c r="U10" s="63"/>
      <c r="V10" s="63"/>
      <c r="W10" s="63"/>
      <c r="X10" s="57"/>
    </row>
    <row r="11" spans="1:25" s="60" customFormat="1" ht="35.1" customHeight="1" thickBot="1" x14ac:dyDescent="0.25">
      <c r="A11" s="485" t="s">
        <v>46</v>
      </c>
      <c r="B11" s="169">
        <v>44885</v>
      </c>
      <c r="C11" s="193" t="s">
        <v>134</v>
      </c>
      <c r="D11" s="170" t="s">
        <v>161</v>
      </c>
      <c r="E11" s="74" t="s">
        <v>141</v>
      </c>
      <c r="F11" s="374">
        <v>0</v>
      </c>
      <c r="G11" s="76" t="s">
        <v>0</v>
      </c>
      <c r="H11" s="386">
        <v>2</v>
      </c>
      <c r="I11" s="77" t="s">
        <v>142</v>
      </c>
      <c r="J11" s="52"/>
      <c r="K11" s="495"/>
      <c r="L11" s="495"/>
      <c r="M11" s="94"/>
      <c r="N11" s="502" t="str">
        <f>'Classificação 1ª fase'!B4</f>
        <v>Grupo A</v>
      </c>
      <c r="O11" s="503"/>
      <c r="P11" s="148" t="str">
        <f>'Classificação 1ª fase'!D4</f>
        <v>PG</v>
      </c>
      <c r="Q11" s="148" t="str">
        <f>'Classificação 1ª fase'!E4</f>
        <v>J</v>
      </c>
      <c r="R11" s="148" t="str">
        <f>'Classificação 1ª fase'!F4</f>
        <v>V</v>
      </c>
      <c r="S11" s="148" t="str">
        <f>'Classificação 1ª fase'!G4</f>
        <v>D</v>
      </c>
      <c r="T11" s="148" t="str">
        <f>'Classificação 1ª fase'!H4</f>
        <v>E</v>
      </c>
      <c r="U11" s="148" t="str">
        <f>'Classificação 1ª fase'!I4</f>
        <v>GP</v>
      </c>
      <c r="V11" s="148" t="str">
        <f>'Classificação 1ª fase'!J4</f>
        <v>GC</v>
      </c>
      <c r="W11" s="149" t="str">
        <f>'Classificação 1ª fase'!K4</f>
        <v>SG</v>
      </c>
      <c r="X11" s="57"/>
    </row>
    <row r="12" spans="1:25" s="60" customFormat="1" ht="35.1" customHeight="1" x14ac:dyDescent="0.2">
      <c r="A12" s="485"/>
      <c r="B12" s="171">
        <v>44886</v>
      </c>
      <c r="C12" s="194" t="s">
        <v>134</v>
      </c>
      <c r="D12" s="172" t="s">
        <v>157</v>
      </c>
      <c r="E12" s="78" t="s">
        <v>131</v>
      </c>
      <c r="F12" s="375">
        <v>0</v>
      </c>
      <c r="G12" s="80" t="s">
        <v>0</v>
      </c>
      <c r="H12" s="387">
        <v>2</v>
      </c>
      <c r="I12" s="81" t="s">
        <v>140</v>
      </c>
      <c r="J12" s="52"/>
      <c r="K12" s="94"/>
      <c r="L12" s="94"/>
      <c r="M12" s="94"/>
      <c r="N12" s="103">
        <f>'Classificação 1ª fase'!B5</f>
        <v>1</v>
      </c>
      <c r="O12" s="100" t="str">
        <f>'Classificação 1ª fase'!C5</f>
        <v>Holanda</v>
      </c>
      <c r="P12" s="63">
        <f>'Classificação 1ª fase'!D5</f>
        <v>3</v>
      </c>
      <c r="Q12" s="63">
        <f>'Classificação 1ª fase'!E5</f>
        <v>1</v>
      </c>
      <c r="R12" s="63">
        <f>'Classificação 1ª fase'!F5</f>
        <v>1</v>
      </c>
      <c r="S12" s="63">
        <f>'Classificação 1ª fase'!G5</f>
        <v>0</v>
      </c>
      <c r="T12" s="63">
        <f>'Classificação 1ª fase'!H5</f>
        <v>0</v>
      </c>
      <c r="U12" s="63">
        <f>'Classificação 1ª fase'!I5</f>
        <v>2</v>
      </c>
      <c r="V12" s="63">
        <f>'Classificação 1ª fase'!J5</f>
        <v>0</v>
      </c>
      <c r="W12" s="95">
        <f>'Classificação 1ª fase'!K5</f>
        <v>2</v>
      </c>
      <c r="X12" s="57"/>
    </row>
    <row r="13" spans="1:25" s="60" customFormat="1" ht="35.1" customHeight="1" thickBot="1" x14ac:dyDescent="0.25">
      <c r="A13" s="485"/>
      <c r="B13" s="171">
        <v>44890</v>
      </c>
      <c r="C13" s="194" t="s">
        <v>135</v>
      </c>
      <c r="D13" s="172" t="s">
        <v>157</v>
      </c>
      <c r="E13" s="78" t="s">
        <v>141</v>
      </c>
      <c r="F13" s="375"/>
      <c r="G13" s="80" t="s">
        <v>0</v>
      </c>
      <c r="H13" s="387"/>
      <c r="I13" s="81" t="s">
        <v>131</v>
      </c>
      <c r="J13" s="52"/>
      <c r="K13" s="94"/>
      <c r="L13" s="94"/>
      <c r="M13" s="94"/>
      <c r="N13" s="106" t="str">
        <f>'Classificação 1ª fase'!B6</f>
        <v>-</v>
      </c>
      <c r="O13" s="107" t="str">
        <f>'Classificação 1ª fase'!C6</f>
        <v>Equador</v>
      </c>
      <c r="P13" s="96">
        <f>'Classificação 1ª fase'!D6</f>
        <v>3</v>
      </c>
      <c r="Q13" s="96">
        <f>'Classificação 1ª fase'!E6</f>
        <v>1</v>
      </c>
      <c r="R13" s="96">
        <f>'Classificação 1ª fase'!F6</f>
        <v>1</v>
      </c>
      <c r="S13" s="96">
        <f>'Classificação 1ª fase'!G6</f>
        <v>0</v>
      </c>
      <c r="T13" s="96">
        <f>'Classificação 1ª fase'!H6</f>
        <v>0</v>
      </c>
      <c r="U13" s="96">
        <f>'Classificação 1ª fase'!I6</f>
        <v>2</v>
      </c>
      <c r="V13" s="96">
        <f>'Classificação 1ª fase'!J6</f>
        <v>0</v>
      </c>
      <c r="W13" s="97">
        <f>'Classificação 1ª fase'!K6</f>
        <v>2</v>
      </c>
      <c r="X13" s="57"/>
    </row>
    <row r="14" spans="1:25" s="60" customFormat="1" ht="35.1" customHeight="1" thickTop="1" x14ac:dyDescent="0.2">
      <c r="A14" s="485"/>
      <c r="B14" s="171">
        <v>44890</v>
      </c>
      <c r="C14" s="194" t="s">
        <v>134</v>
      </c>
      <c r="D14" s="172" t="s">
        <v>143</v>
      </c>
      <c r="E14" s="78" t="s">
        <v>140</v>
      </c>
      <c r="F14" s="375"/>
      <c r="G14" s="80" t="s">
        <v>0</v>
      </c>
      <c r="H14" s="387"/>
      <c r="I14" s="81" t="s">
        <v>142</v>
      </c>
      <c r="J14" s="52"/>
      <c r="K14" s="94"/>
      <c r="L14" s="94"/>
      <c r="M14" s="94"/>
      <c r="N14" s="103">
        <f>'Classificação 1ª fase'!B7</f>
        <v>3</v>
      </c>
      <c r="O14" s="100" t="str">
        <f>'Classificação 1ª fase'!C7</f>
        <v>Senegal</v>
      </c>
      <c r="P14" s="63">
        <f>'Classificação 1ª fase'!D7</f>
        <v>0</v>
      </c>
      <c r="Q14" s="63">
        <f>'Classificação 1ª fase'!E7</f>
        <v>1</v>
      </c>
      <c r="R14" s="63">
        <f>'Classificação 1ª fase'!F7</f>
        <v>0</v>
      </c>
      <c r="S14" s="63">
        <f>'Classificação 1ª fase'!G7</f>
        <v>1</v>
      </c>
      <c r="T14" s="63">
        <f>'Classificação 1ª fase'!H7</f>
        <v>0</v>
      </c>
      <c r="U14" s="63">
        <f>'Classificação 1ª fase'!I7</f>
        <v>0</v>
      </c>
      <c r="V14" s="63">
        <f>'Classificação 1ª fase'!J7</f>
        <v>2</v>
      </c>
      <c r="W14" s="95">
        <f>'Classificação 1ª fase'!K7</f>
        <v>-2</v>
      </c>
      <c r="X14" s="57"/>
    </row>
    <row r="15" spans="1:25" s="60" customFormat="1" ht="35.1" customHeight="1" thickBot="1" x14ac:dyDescent="0.25">
      <c r="A15" s="485"/>
      <c r="B15" s="171">
        <v>44894</v>
      </c>
      <c r="C15" s="194" t="s">
        <v>132</v>
      </c>
      <c r="D15" s="172" t="s">
        <v>161</v>
      </c>
      <c r="E15" s="78" t="s">
        <v>140</v>
      </c>
      <c r="F15" s="375"/>
      <c r="G15" s="80" t="s">
        <v>0</v>
      </c>
      <c r="H15" s="387"/>
      <c r="I15" s="81" t="s">
        <v>141</v>
      </c>
      <c r="J15" s="52"/>
      <c r="K15" s="94"/>
      <c r="L15" s="94"/>
      <c r="M15" s="94"/>
      <c r="N15" s="104" t="str">
        <f>'Classificação 1ª fase'!B8</f>
        <v>-</v>
      </c>
      <c r="O15" s="105" t="str">
        <f>'Classificação 1ª fase'!C8</f>
        <v>Catar</v>
      </c>
      <c r="P15" s="98">
        <f>'Classificação 1ª fase'!D8</f>
        <v>0</v>
      </c>
      <c r="Q15" s="98">
        <f>'Classificação 1ª fase'!E8</f>
        <v>1</v>
      </c>
      <c r="R15" s="98">
        <f>'Classificação 1ª fase'!F8</f>
        <v>0</v>
      </c>
      <c r="S15" s="98">
        <f>'Classificação 1ª fase'!G8</f>
        <v>1</v>
      </c>
      <c r="T15" s="98">
        <f>'Classificação 1ª fase'!H8</f>
        <v>0</v>
      </c>
      <c r="U15" s="98">
        <f>'Classificação 1ª fase'!I8</f>
        <v>0</v>
      </c>
      <c r="V15" s="98">
        <f>'Classificação 1ª fase'!J8</f>
        <v>2</v>
      </c>
      <c r="W15" s="99">
        <f>'Classificação 1ª fase'!K8</f>
        <v>-2</v>
      </c>
      <c r="X15" s="94"/>
    </row>
    <row r="16" spans="1:25" s="60" customFormat="1" ht="35.1" customHeight="1" thickBot="1" x14ac:dyDescent="0.25">
      <c r="A16" s="486"/>
      <c r="B16" s="173">
        <v>44590</v>
      </c>
      <c r="C16" s="195" t="s">
        <v>132</v>
      </c>
      <c r="D16" s="174" t="s">
        <v>143</v>
      </c>
      <c r="E16" s="86" t="s">
        <v>142</v>
      </c>
      <c r="F16" s="376"/>
      <c r="G16" s="88" t="s">
        <v>0</v>
      </c>
      <c r="H16" s="388"/>
      <c r="I16" s="89" t="s">
        <v>131</v>
      </c>
      <c r="J16" s="52"/>
      <c r="K16" s="94"/>
      <c r="L16" s="94"/>
      <c r="M16" s="94"/>
      <c r="N16" s="115"/>
      <c r="O16" s="139"/>
      <c r="P16" s="115"/>
      <c r="Q16" s="115">
        <f>SUM(Q12:Q15)</f>
        <v>4</v>
      </c>
      <c r="R16" s="115"/>
      <c r="S16" s="115"/>
      <c r="T16" s="115"/>
      <c r="U16" s="115"/>
      <c r="V16" s="115"/>
      <c r="W16" s="115"/>
      <c r="X16" s="94"/>
    </row>
    <row r="17" spans="1:24" s="60" customFormat="1" ht="35.1" customHeight="1" thickBot="1" x14ac:dyDescent="0.25">
      <c r="A17" s="484" t="s">
        <v>47</v>
      </c>
      <c r="B17" s="175">
        <v>44886</v>
      </c>
      <c r="C17" s="196" t="s">
        <v>135</v>
      </c>
      <c r="D17" s="176" t="s">
        <v>143</v>
      </c>
      <c r="E17" s="82" t="s">
        <v>6</v>
      </c>
      <c r="F17" s="83">
        <v>6</v>
      </c>
      <c r="G17" s="84" t="s">
        <v>0</v>
      </c>
      <c r="H17" s="134">
        <v>2</v>
      </c>
      <c r="I17" s="85" t="s">
        <v>123</v>
      </c>
      <c r="J17" s="52"/>
      <c r="K17" s="94"/>
      <c r="L17" s="94"/>
      <c r="M17" s="94"/>
      <c r="N17" s="502" t="str">
        <f>'Classificação 1ª fase'!B10</f>
        <v>Grupo B</v>
      </c>
      <c r="O17" s="503"/>
      <c r="P17" s="148" t="str">
        <f>'Classificação 1ª fase'!D10</f>
        <v>PG</v>
      </c>
      <c r="Q17" s="148" t="str">
        <f>'Classificação 1ª fase'!E10</f>
        <v>J</v>
      </c>
      <c r="R17" s="148" t="str">
        <f>'Classificação 1ª fase'!F10</f>
        <v>V</v>
      </c>
      <c r="S17" s="148" t="str">
        <f>'Classificação 1ª fase'!G10</f>
        <v>D</v>
      </c>
      <c r="T17" s="148" t="str">
        <f>'Classificação 1ª fase'!H10</f>
        <v>E</v>
      </c>
      <c r="U17" s="148" t="str">
        <f>'Classificação 1ª fase'!I10</f>
        <v>GP</v>
      </c>
      <c r="V17" s="148" t="str">
        <f>'Classificação 1ª fase'!J10</f>
        <v>GC</v>
      </c>
      <c r="W17" s="149" t="str">
        <f>'Classificação 1ª fase'!K10</f>
        <v>SG</v>
      </c>
      <c r="X17" s="94"/>
    </row>
    <row r="18" spans="1:24" s="60" customFormat="1" ht="35.1" customHeight="1" x14ac:dyDescent="0.2">
      <c r="A18" s="485"/>
      <c r="B18" s="171">
        <v>44886</v>
      </c>
      <c r="C18" s="194" t="s">
        <v>136</v>
      </c>
      <c r="D18" s="177" t="s">
        <v>162</v>
      </c>
      <c r="E18" s="78" t="s">
        <v>145</v>
      </c>
      <c r="F18" s="79">
        <v>1</v>
      </c>
      <c r="G18" s="80" t="s">
        <v>0</v>
      </c>
      <c r="H18" s="132">
        <v>1</v>
      </c>
      <c r="I18" s="81" t="s">
        <v>158</v>
      </c>
      <c r="J18" s="52"/>
      <c r="K18" s="94"/>
      <c r="L18" s="94"/>
      <c r="M18" s="94"/>
      <c r="N18" s="103">
        <f>'Classificação 1ª fase'!B11</f>
        <v>1</v>
      </c>
      <c r="O18" s="100" t="str">
        <f>'Classificação 1ª fase'!C11</f>
        <v>Inglaterra</v>
      </c>
      <c r="P18" s="63">
        <f>'Classificação 1ª fase'!D11</f>
        <v>3</v>
      </c>
      <c r="Q18" s="63">
        <f>'Classificação 1ª fase'!E11</f>
        <v>1</v>
      </c>
      <c r="R18" s="63">
        <f>'Classificação 1ª fase'!F11</f>
        <v>1</v>
      </c>
      <c r="S18" s="63">
        <f>'Classificação 1ª fase'!G11</f>
        <v>0</v>
      </c>
      <c r="T18" s="63">
        <f>'Classificação 1ª fase'!H11</f>
        <v>0</v>
      </c>
      <c r="U18" s="63">
        <f>'Classificação 1ª fase'!I11</f>
        <v>6</v>
      </c>
      <c r="V18" s="63">
        <f>'Classificação 1ª fase'!J11</f>
        <v>2</v>
      </c>
      <c r="W18" s="95">
        <f>'Classificação 1ª fase'!K11</f>
        <v>4</v>
      </c>
      <c r="X18" s="94"/>
    </row>
    <row r="19" spans="1:24" s="60" customFormat="1" ht="35.1" customHeight="1" thickBot="1" x14ac:dyDescent="0.25">
      <c r="A19" s="485"/>
      <c r="B19" s="171">
        <v>44890</v>
      </c>
      <c r="C19" s="194" t="s">
        <v>133</v>
      </c>
      <c r="D19" s="177" t="s">
        <v>162</v>
      </c>
      <c r="E19" s="78" t="s">
        <v>158</v>
      </c>
      <c r="F19" s="79"/>
      <c r="G19" s="80" t="s">
        <v>0</v>
      </c>
      <c r="H19" s="132"/>
      <c r="I19" s="81" t="s">
        <v>123</v>
      </c>
      <c r="J19" s="52"/>
      <c r="K19" s="94"/>
      <c r="L19" s="94"/>
      <c r="M19" s="94"/>
      <c r="N19" s="106">
        <f>'Classificação 1ª fase'!B12</f>
        <v>2</v>
      </c>
      <c r="O19" s="107" t="str">
        <f>'Classificação 1ª fase'!C12</f>
        <v>País de Gales</v>
      </c>
      <c r="P19" s="96">
        <f>'Classificação 1ª fase'!D12</f>
        <v>1</v>
      </c>
      <c r="Q19" s="96">
        <f>'Classificação 1ª fase'!E12</f>
        <v>1</v>
      </c>
      <c r="R19" s="96">
        <f>'Classificação 1ª fase'!F12</f>
        <v>0</v>
      </c>
      <c r="S19" s="96">
        <f>'Classificação 1ª fase'!G12</f>
        <v>0</v>
      </c>
      <c r="T19" s="96">
        <f>'Classificação 1ª fase'!H12</f>
        <v>1</v>
      </c>
      <c r="U19" s="96">
        <f>'Classificação 1ª fase'!I12</f>
        <v>1</v>
      </c>
      <c r="V19" s="96">
        <f>'Classificação 1ª fase'!J12</f>
        <v>1</v>
      </c>
      <c r="W19" s="97">
        <f>'Classificação 1ª fase'!K12</f>
        <v>0</v>
      </c>
      <c r="X19" s="94"/>
    </row>
    <row r="20" spans="1:24" s="60" customFormat="1" ht="35.1" customHeight="1" thickTop="1" x14ac:dyDescent="0.2">
      <c r="A20" s="485"/>
      <c r="B20" s="171">
        <v>44890</v>
      </c>
      <c r="C20" s="194" t="s">
        <v>136</v>
      </c>
      <c r="D20" s="177" t="s">
        <v>161</v>
      </c>
      <c r="E20" s="78" t="s">
        <v>6</v>
      </c>
      <c r="F20" s="79"/>
      <c r="G20" s="80" t="s">
        <v>0</v>
      </c>
      <c r="H20" s="132"/>
      <c r="I20" s="81" t="s">
        <v>145</v>
      </c>
      <c r="J20" s="52"/>
      <c r="K20" s="94"/>
      <c r="L20" s="94"/>
      <c r="M20" s="94"/>
      <c r="N20" s="103" t="str">
        <f>'Classificação 1ª fase'!B13</f>
        <v>-</v>
      </c>
      <c r="O20" s="100" t="str">
        <f>'Classificação 1ª fase'!C13</f>
        <v>Estados Unidos</v>
      </c>
      <c r="P20" s="63">
        <f>'Classificação 1ª fase'!D13</f>
        <v>1</v>
      </c>
      <c r="Q20" s="63">
        <f>'Classificação 1ª fase'!E13</f>
        <v>1</v>
      </c>
      <c r="R20" s="63">
        <f>'Classificação 1ª fase'!F13</f>
        <v>0</v>
      </c>
      <c r="S20" s="63">
        <f>'Classificação 1ª fase'!G13</f>
        <v>0</v>
      </c>
      <c r="T20" s="63">
        <f>'Classificação 1ª fase'!H13</f>
        <v>1</v>
      </c>
      <c r="U20" s="63">
        <f>'Classificação 1ª fase'!I13</f>
        <v>1</v>
      </c>
      <c r="V20" s="63">
        <f>'Classificação 1ª fase'!J13</f>
        <v>1</v>
      </c>
      <c r="W20" s="95">
        <f>'Classificação 1ª fase'!K13</f>
        <v>0</v>
      </c>
      <c r="X20" s="94"/>
    </row>
    <row r="21" spans="1:24" s="60" customFormat="1" ht="35.1" customHeight="1" thickBot="1" x14ac:dyDescent="0.25">
      <c r="A21" s="485"/>
      <c r="B21" s="171">
        <v>44894</v>
      </c>
      <c r="C21" s="194" t="s">
        <v>136</v>
      </c>
      <c r="D21" s="177" t="s">
        <v>162</v>
      </c>
      <c r="E21" s="78" t="s">
        <v>158</v>
      </c>
      <c r="F21" s="79"/>
      <c r="G21" s="80" t="s">
        <v>0</v>
      </c>
      <c r="H21" s="132"/>
      <c r="I21" s="81" t="s">
        <v>6</v>
      </c>
      <c r="J21" s="52"/>
      <c r="K21" s="94"/>
      <c r="L21" s="94"/>
      <c r="M21" s="94"/>
      <c r="N21" s="104">
        <f>'Classificação 1ª fase'!B14</f>
        <v>4</v>
      </c>
      <c r="O21" s="105" t="str">
        <f>'Classificação 1ª fase'!C14</f>
        <v>Irã</v>
      </c>
      <c r="P21" s="98">
        <f>'Classificação 1ª fase'!D14</f>
        <v>0</v>
      </c>
      <c r="Q21" s="98">
        <f>'Classificação 1ª fase'!E14</f>
        <v>1</v>
      </c>
      <c r="R21" s="98">
        <f>'Classificação 1ª fase'!F14</f>
        <v>0</v>
      </c>
      <c r="S21" s="98">
        <f>'Classificação 1ª fase'!G14</f>
        <v>1</v>
      </c>
      <c r="T21" s="98">
        <f>'Classificação 1ª fase'!H14</f>
        <v>0</v>
      </c>
      <c r="U21" s="98">
        <f>'Classificação 1ª fase'!I14</f>
        <v>2</v>
      </c>
      <c r="V21" s="98">
        <f>'Classificação 1ª fase'!J14</f>
        <v>6</v>
      </c>
      <c r="W21" s="99">
        <f>'Classificação 1ª fase'!K14</f>
        <v>-4</v>
      </c>
      <c r="X21" s="94"/>
    </row>
    <row r="22" spans="1:24" s="60" customFormat="1" ht="35.1" customHeight="1" thickBot="1" x14ac:dyDescent="0.25">
      <c r="A22" s="486"/>
      <c r="B22" s="173">
        <v>44894</v>
      </c>
      <c r="C22" s="195" t="s">
        <v>136</v>
      </c>
      <c r="D22" s="178" t="s">
        <v>157</v>
      </c>
      <c r="E22" s="90" t="s">
        <v>123</v>
      </c>
      <c r="F22" s="91"/>
      <c r="G22" s="92" t="s">
        <v>0</v>
      </c>
      <c r="H22" s="135"/>
      <c r="I22" s="93" t="s">
        <v>145</v>
      </c>
      <c r="J22" s="52"/>
      <c r="K22" s="94"/>
      <c r="L22" s="94"/>
      <c r="M22" s="94"/>
      <c r="N22" s="63"/>
      <c r="O22" s="100"/>
      <c r="P22" s="63"/>
      <c r="Q22" s="115">
        <f>SUM(Q18:Q21)</f>
        <v>4</v>
      </c>
      <c r="R22" s="63"/>
      <c r="S22" s="63"/>
      <c r="T22" s="63"/>
      <c r="U22" s="63"/>
      <c r="V22" s="63"/>
      <c r="W22" s="63"/>
      <c r="X22" s="94"/>
    </row>
    <row r="23" spans="1:24" s="60" customFormat="1" ht="35.1" customHeight="1" thickBot="1" x14ac:dyDescent="0.25">
      <c r="A23" s="484" t="s">
        <v>49</v>
      </c>
      <c r="B23" s="175">
        <v>44887</v>
      </c>
      <c r="C23" s="196" t="s">
        <v>133</v>
      </c>
      <c r="D23" s="179" t="s">
        <v>146</v>
      </c>
      <c r="E23" s="74" t="s">
        <v>4</v>
      </c>
      <c r="F23" s="75">
        <v>1</v>
      </c>
      <c r="G23" s="76" t="s">
        <v>0</v>
      </c>
      <c r="H23" s="131">
        <v>2</v>
      </c>
      <c r="I23" s="77" t="s">
        <v>125</v>
      </c>
      <c r="J23" s="52"/>
      <c r="K23" s="94"/>
      <c r="L23" s="94"/>
      <c r="M23" s="94"/>
      <c r="N23" s="502" t="str">
        <f>'Classificação 1ª fase'!B16</f>
        <v>Grupo C</v>
      </c>
      <c r="O23" s="503"/>
      <c r="P23" s="148" t="str">
        <f>'Classificação 1ª fase'!D16</f>
        <v>PG</v>
      </c>
      <c r="Q23" s="148" t="str">
        <f>'Classificação 1ª fase'!E16</f>
        <v>J</v>
      </c>
      <c r="R23" s="148" t="str">
        <f>'Classificação 1ª fase'!F16</f>
        <v>V</v>
      </c>
      <c r="S23" s="148" t="str">
        <f>'Classificação 1ª fase'!G16</f>
        <v>D</v>
      </c>
      <c r="T23" s="148" t="str">
        <f>'Classificação 1ª fase'!H16</f>
        <v>E</v>
      </c>
      <c r="U23" s="148" t="str">
        <f>'Classificação 1ª fase'!I16</f>
        <v>GP</v>
      </c>
      <c r="V23" s="148" t="str">
        <f>'Classificação 1ª fase'!J16</f>
        <v>GC</v>
      </c>
      <c r="W23" s="149" t="str">
        <f>'Classificação 1ª fase'!K16</f>
        <v>SG</v>
      </c>
      <c r="X23" s="108"/>
    </row>
    <row r="24" spans="1:24" s="60" customFormat="1" ht="35.1" customHeight="1" x14ac:dyDescent="0.2">
      <c r="A24" s="485"/>
      <c r="B24" s="171">
        <v>44887</v>
      </c>
      <c r="C24" s="194" t="s">
        <v>134</v>
      </c>
      <c r="D24" s="172" t="s">
        <v>163</v>
      </c>
      <c r="E24" s="78" t="s">
        <v>1</v>
      </c>
      <c r="F24" s="79">
        <v>0</v>
      </c>
      <c r="G24" s="80" t="s">
        <v>0</v>
      </c>
      <c r="H24" s="132">
        <v>0</v>
      </c>
      <c r="I24" s="81" t="s">
        <v>130</v>
      </c>
      <c r="J24" s="52"/>
      <c r="K24" s="94"/>
      <c r="L24" s="94"/>
      <c r="M24" s="94"/>
      <c r="N24" s="103">
        <f>'Classificação 1ª fase'!B17</f>
        <v>1</v>
      </c>
      <c r="O24" s="100" t="str">
        <f>'Classificação 1ª fase'!C17</f>
        <v>Arábia Saudita</v>
      </c>
      <c r="P24" s="63">
        <f>'Classificação 1ª fase'!D17</f>
        <v>3</v>
      </c>
      <c r="Q24" s="63">
        <f>'Classificação 1ª fase'!E17</f>
        <v>1</v>
      </c>
      <c r="R24" s="63">
        <f>'Classificação 1ª fase'!F17</f>
        <v>1</v>
      </c>
      <c r="S24" s="63">
        <f>'Classificação 1ª fase'!G17</f>
        <v>0</v>
      </c>
      <c r="T24" s="63">
        <f>'Classificação 1ª fase'!H17</f>
        <v>0</v>
      </c>
      <c r="U24" s="63">
        <f>'Classificação 1ª fase'!I17</f>
        <v>2</v>
      </c>
      <c r="V24" s="63">
        <f>'Classificação 1ª fase'!J17</f>
        <v>1</v>
      </c>
      <c r="W24" s="95">
        <f>'Classificação 1ª fase'!K17</f>
        <v>1</v>
      </c>
      <c r="X24" s="94"/>
    </row>
    <row r="25" spans="1:24" s="60" customFormat="1" ht="35.1" customHeight="1" thickBot="1" x14ac:dyDescent="0.25">
      <c r="A25" s="485"/>
      <c r="B25" s="171">
        <v>44891</v>
      </c>
      <c r="C25" s="194" t="s">
        <v>135</v>
      </c>
      <c r="D25" s="172" t="s">
        <v>148</v>
      </c>
      <c r="E25" s="78" t="s">
        <v>130</v>
      </c>
      <c r="F25" s="79"/>
      <c r="G25" s="80" t="s">
        <v>0</v>
      </c>
      <c r="H25" s="132"/>
      <c r="I25" s="81" t="s">
        <v>125</v>
      </c>
      <c r="J25" s="52"/>
      <c r="K25" s="94"/>
      <c r="L25" s="94"/>
      <c r="M25" s="94"/>
      <c r="N25" s="106">
        <f>'Classificação 1ª fase'!B18</f>
        <v>2</v>
      </c>
      <c r="O25" s="107" t="str">
        <f>'Classificação 1ª fase'!C18</f>
        <v>Polônia</v>
      </c>
      <c r="P25" s="96">
        <f>'Classificação 1ª fase'!D18</f>
        <v>1</v>
      </c>
      <c r="Q25" s="96">
        <f>'Classificação 1ª fase'!E18</f>
        <v>1</v>
      </c>
      <c r="R25" s="96">
        <f>'Classificação 1ª fase'!F18</f>
        <v>0</v>
      </c>
      <c r="S25" s="96">
        <f>'Classificação 1ª fase'!G18</f>
        <v>0</v>
      </c>
      <c r="T25" s="96">
        <f>'Classificação 1ª fase'!H18</f>
        <v>1</v>
      </c>
      <c r="U25" s="96">
        <f>'Classificação 1ª fase'!I18</f>
        <v>0</v>
      </c>
      <c r="V25" s="96">
        <f>'Classificação 1ª fase'!J18</f>
        <v>0</v>
      </c>
      <c r="W25" s="97">
        <f>'Classificação 1ª fase'!K18</f>
        <v>0</v>
      </c>
      <c r="X25" s="94"/>
    </row>
    <row r="26" spans="1:24" s="60" customFormat="1" ht="35.1" customHeight="1" thickTop="1" x14ac:dyDescent="0.2">
      <c r="A26" s="485"/>
      <c r="B26" s="171">
        <v>44891</v>
      </c>
      <c r="C26" s="194" t="s">
        <v>136</v>
      </c>
      <c r="D26" s="172" t="s">
        <v>146</v>
      </c>
      <c r="E26" s="78" t="s">
        <v>4</v>
      </c>
      <c r="F26" s="79"/>
      <c r="G26" s="80" t="s">
        <v>0</v>
      </c>
      <c r="H26" s="132"/>
      <c r="I26" s="81" t="s">
        <v>1</v>
      </c>
      <c r="J26" s="52"/>
      <c r="K26" s="94"/>
      <c r="L26" s="94"/>
      <c r="M26" s="94"/>
      <c r="N26" s="103" t="str">
        <f>'Classificação 1ª fase'!B19</f>
        <v>-</v>
      </c>
      <c r="O26" s="100" t="str">
        <f>'Classificação 1ª fase'!C19</f>
        <v>México</v>
      </c>
      <c r="P26" s="63">
        <f>'Classificação 1ª fase'!D19</f>
        <v>1</v>
      </c>
      <c r="Q26" s="63">
        <f>'Classificação 1ª fase'!E19</f>
        <v>1</v>
      </c>
      <c r="R26" s="63">
        <f>'Classificação 1ª fase'!F19</f>
        <v>0</v>
      </c>
      <c r="S26" s="63">
        <f>'Classificação 1ª fase'!G19</f>
        <v>0</v>
      </c>
      <c r="T26" s="63">
        <f>'Classificação 1ª fase'!H19</f>
        <v>1</v>
      </c>
      <c r="U26" s="63">
        <f>'Classificação 1ª fase'!I19</f>
        <v>0</v>
      </c>
      <c r="V26" s="63">
        <f>'Classificação 1ª fase'!J19</f>
        <v>0</v>
      </c>
      <c r="W26" s="95">
        <f>'Classificação 1ª fase'!K19</f>
        <v>0</v>
      </c>
      <c r="X26" s="94"/>
    </row>
    <row r="27" spans="1:24" s="60" customFormat="1" ht="35.1" customHeight="1" thickBot="1" x14ac:dyDescent="0.25">
      <c r="A27" s="485"/>
      <c r="B27" s="171">
        <v>44895</v>
      </c>
      <c r="C27" s="194" t="s">
        <v>136</v>
      </c>
      <c r="D27" s="172" t="s">
        <v>163</v>
      </c>
      <c r="E27" s="78" t="s">
        <v>130</v>
      </c>
      <c r="F27" s="79"/>
      <c r="G27" s="80" t="s">
        <v>0</v>
      </c>
      <c r="H27" s="132"/>
      <c r="I27" s="81" t="s">
        <v>4</v>
      </c>
      <c r="J27" s="52"/>
      <c r="K27" s="94"/>
      <c r="L27" s="94"/>
      <c r="M27" s="94"/>
      <c r="N27" s="104">
        <f>'Classificação 1ª fase'!B20</f>
        <v>4</v>
      </c>
      <c r="O27" s="105" t="str">
        <f>'Classificação 1ª fase'!C20</f>
        <v>Argentina</v>
      </c>
      <c r="P27" s="98">
        <f>'Classificação 1ª fase'!D20</f>
        <v>0</v>
      </c>
      <c r="Q27" s="98">
        <f>'Classificação 1ª fase'!E20</f>
        <v>1</v>
      </c>
      <c r="R27" s="98">
        <f>'Classificação 1ª fase'!F20</f>
        <v>0</v>
      </c>
      <c r="S27" s="98">
        <f>'Classificação 1ª fase'!G20</f>
        <v>1</v>
      </c>
      <c r="T27" s="98">
        <f>'Classificação 1ª fase'!H20</f>
        <v>0</v>
      </c>
      <c r="U27" s="98">
        <f>'Classificação 1ª fase'!I20</f>
        <v>1</v>
      </c>
      <c r="V27" s="98">
        <f>'Classificação 1ª fase'!J20</f>
        <v>2</v>
      </c>
      <c r="W27" s="99">
        <f>'Classificação 1ª fase'!K20</f>
        <v>-1</v>
      </c>
      <c r="X27" s="94"/>
    </row>
    <row r="28" spans="1:24" s="60" customFormat="1" ht="35.1" customHeight="1" thickBot="1" x14ac:dyDescent="0.25">
      <c r="A28" s="486"/>
      <c r="B28" s="173">
        <v>44895</v>
      </c>
      <c r="C28" s="195" t="s">
        <v>136</v>
      </c>
      <c r="D28" s="174" t="s">
        <v>146</v>
      </c>
      <c r="E28" s="86" t="s">
        <v>125</v>
      </c>
      <c r="F28" s="87"/>
      <c r="G28" s="88" t="s">
        <v>0</v>
      </c>
      <c r="H28" s="133"/>
      <c r="I28" s="89" t="s">
        <v>1</v>
      </c>
      <c r="J28" s="52"/>
      <c r="K28" s="94"/>
      <c r="L28" s="94"/>
      <c r="M28" s="94"/>
      <c r="N28" s="63"/>
      <c r="O28" s="100"/>
      <c r="P28" s="63"/>
      <c r="Q28" s="115">
        <f>SUM(Q24:Q27)</f>
        <v>4</v>
      </c>
      <c r="R28" s="63"/>
      <c r="S28" s="63"/>
      <c r="T28" s="63"/>
      <c r="U28" s="63"/>
      <c r="V28" s="63"/>
      <c r="W28" s="63"/>
      <c r="X28" s="94"/>
    </row>
    <row r="29" spans="1:24" s="60" customFormat="1" ht="35.1" customHeight="1" thickBot="1" x14ac:dyDescent="0.25">
      <c r="A29" s="484" t="s">
        <v>38</v>
      </c>
      <c r="B29" s="175">
        <v>44887</v>
      </c>
      <c r="C29" s="196" t="s">
        <v>135</v>
      </c>
      <c r="D29" s="176" t="s">
        <v>148</v>
      </c>
      <c r="E29" s="82" t="s">
        <v>127</v>
      </c>
      <c r="F29" s="83">
        <v>0</v>
      </c>
      <c r="G29" s="84" t="s">
        <v>0</v>
      </c>
      <c r="H29" s="134">
        <v>0</v>
      </c>
      <c r="I29" s="85" t="s">
        <v>129</v>
      </c>
      <c r="J29" s="52"/>
      <c r="K29" s="94"/>
      <c r="L29" s="94"/>
      <c r="M29" s="94"/>
      <c r="N29" s="502" t="str">
        <f>'Classificação 1ª fase'!B22</f>
        <v>Grupo D</v>
      </c>
      <c r="O29" s="503"/>
      <c r="P29" s="148" t="str">
        <f>'Classificação 1ª fase'!D22</f>
        <v>PG</v>
      </c>
      <c r="Q29" s="148" t="str">
        <f>'Classificação 1ª fase'!E22</f>
        <v>J</v>
      </c>
      <c r="R29" s="148" t="str">
        <f>'Classificação 1ª fase'!F22</f>
        <v>V</v>
      </c>
      <c r="S29" s="148" t="str">
        <f>'Classificação 1ª fase'!G22</f>
        <v>D</v>
      </c>
      <c r="T29" s="148" t="str">
        <f>'Classificação 1ª fase'!H22</f>
        <v>E</v>
      </c>
      <c r="U29" s="148" t="str">
        <f>'Classificação 1ª fase'!I22</f>
        <v>GP</v>
      </c>
      <c r="V29" s="148" t="str">
        <f>'Classificação 1ª fase'!J22</f>
        <v>GC</v>
      </c>
      <c r="W29" s="149" t="str">
        <f>'Classificação 1ª fase'!K22</f>
        <v>SG</v>
      </c>
      <c r="X29" s="94"/>
    </row>
    <row r="30" spans="1:24" s="60" customFormat="1" ht="35.1" customHeight="1" x14ac:dyDescent="0.2">
      <c r="A30" s="485"/>
      <c r="B30" s="171">
        <v>44887</v>
      </c>
      <c r="C30" s="194" t="s">
        <v>136</v>
      </c>
      <c r="D30" s="177" t="s">
        <v>164</v>
      </c>
      <c r="E30" s="78" t="s">
        <v>3</v>
      </c>
      <c r="F30" s="79">
        <v>4</v>
      </c>
      <c r="G30" s="80" t="s">
        <v>0</v>
      </c>
      <c r="H30" s="132">
        <v>1</v>
      </c>
      <c r="I30" s="81" t="s">
        <v>159</v>
      </c>
      <c r="J30" s="52"/>
      <c r="K30" s="94"/>
      <c r="L30" s="94"/>
      <c r="M30" s="94"/>
      <c r="N30" s="103">
        <f>'Classificação 1ª fase'!B23</f>
        <v>1</v>
      </c>
      <c r="O30" s="100" t="str">
        <f>'Classificação 1ª fase'!C23</f>
        <v>França</v>
      </c>
      <c r="P30" s="63">
        <f>'Classificação 1ª fase'!D23</f>
        <v>3</v>
      </c>
      <c r="Q30" s="63">
        <f>'Classificação 1ª fase'!E23</f>
        <v>1</v>
      </c>
      <c r="R30" s="63">
        <f>'Classificação 1ª fase'!F23</f>
        <v>1</v>
      </c>
      <c r="S30" s="63">
        <f>'Classificação 1ª fase'!G23</f>
        <v>0</v>
      </c>
      <c r="T30" s="63">
        <f>'Classificação 1ª fase'!H23</f>
        <v>0</v>
      </c>
      <c r="U30" s="63">
        <f>'Classificação 1ª fase'!I23</f>
        <v>4</v>
      </c>
      <c r="V30" s="63">
        <f>'Classificação 1ª fase'!J23</f>
        <v>1</v>
      </c>
      <c r="W30" s="95">
        <f>'Classificação 1ª fase'!K23</f>
        <v>3</v>
      </c>
      <c r="X30" s="94"/>
    </row>
    <row r="31" spans="1:24" s="60" customFormat="1" ht="35.1" customHeight="1" thickBot="1" x14ac:dyDescent="0.25">
      <c r="A31" s="485"/>
      <c r="B31" s="171">
        <v>44891</v>
      </c>
      <c r="C31" s="194" t="s">
        <v>133</v>
      </c>
      <c r="D31" s="177" t="s">
        <v>164</v>
      </c>
      <c r="E31" s="78" t="s">
        <v>129</v>
      </c>
      <c r="F31" s="79"/>
      <c r="G31" s="80" t="s">
        <v>0</v>
      </c>
      <c r="H31" s="132"/>
      <c r="I31" s="81" t="s">
        <v>159</v>
      </c>
      <c r="J31" s="52"/>
      <c r="K31" s="94"/>
      <c r="L31" s="94"/>
      <c r="M31" s="94"/>
      <c r="N31" s="106">
        <f>'Classificação 1ª fase'!B24</f>
        <v>2</v>
      </c>
      <c r="O31" s="107" t="str">
        <f>'Classificação 1ª fase'!C24</f>
        <v>Tunísia</v>
      </c>
      <c r="P31" s="96">
        <f>'Classificação 1ª fase'!D24</f>
        <v>1</v>
      </c>
      <c r="Q31" s="96">
        <f>'Classificação 1ª fase'!E24</f>
        <v>1</v>
      </c>
      <c r="R31" s="96">
        <f>'Classificação 1ª fase'!F24</f>
        <v>0</v>
      </c>
      <c r="S31" s="96">
        <f>'Classificação 1ª fase'!G24</f>
        <v>0</v>
      </c>
      <c r="T31" s="96">
        <f>'Classificação 1ª fase'!H24</f>
        <v>1</v>
      </c>
      <c r="U31" s="96">
        <f>'Classificação 1ª fase'!I24</f>
        <v>0</v>
      </c>
      <c r="V31" s="96">
        <f>'Classificação 1ª fase'!J24</f>
        <v>0</v>
      </c>
      <c r="W31" s="97">
        <f>'Classificação 1ª fase'!K24</f>
        <v>0</v>
      </c>
      <c r="X31" s="94"/>
    </row>
    <row r="32" spans="1:24" s="60" customFormat="1" ht="35.1" customHeight="1" thickTop="1" x14ac:dyDescent="0.2">
      <c r="A32" s="485"/>
      <c r="B32" s="171">
        <v>44891</v>
      </c>
      <c r="C32" s="194" t="s">
        <v>134</v>
      </c>
      <c r="D32" s="177" t="s">
        <v>163</v>
      </c>
      <c r="E32" s="78" t="s">
        <v>3</v>
      </c>
      <c r="F32" s="79"/>
      <c r="G32" s="80" t="s">
        <v>0</v>
      </c>
      <c r="H32" s="132"/>
      <c r="I32" s="81" t="s">
        <v>127</v>
      </c>
      <c r="J32" s="52"/>
      <c r="K32" s="94"/>
      <c r="L32" s="94"/>
      <c r="M32" s="94"/>
      <c r="N32" s="103" t="str">
        <f>'Classificação 1ª fase'!B25</f>
        <v>-</v>
      </c>
      <c r="O32" s="100" t="str">
        <f>'Classificação 1ª fase'!C25</f>
        <v>Dinamarca</v>
      </c>
      <c r="P32" s="63">
        <f>'Classificação 1ª fase'!D25</f>
        <v>1</v>
      </c>
      <c r="Q32" s="63">
        <f>'Classificação 1ª fase'!E25</f>
        <v>1</v>
      </c>
      <c r="R32" s="63">
        <f>'Classificação 1ª fase'!F25</f>
        <v>0</v>
      </c>
      <c r="S32" s="63">
        <f>'Classificação 1ª fase'!G25</f>
        <v>0</v>
      </c>
      <c r="T32" s="63">
        <f>'Classificação 1ª fase'!H25</f>
        <v>1</v>
      </c>
      <c r="U32" s="63">
        <f>'Classificação 1ª fase'!I25</f>
        <v>0</v>
      </c>
      <c r="V32" s="63">
        <f>'Classificação 1ª fase'!J25</f>
        <v>0</v>
      </c>
      <c r="W32" s="95">
        <f>'Classificação 1ª fase'!K25</f>
        <v>0</v>
      </c>
      <c r="X32" s="94"/>
    </row>
    <row r="33" spans="1:24" s="60" customFormat="1" ht="35.1" customHeight="1" thickBot="1" x14ac:dyDescent="0.25">
      <c r="A33" s="485"/>
      <c r="B33" s="171">
        <v>44895</v>
      </c>
      <c r="C33" s="194" t="s">
        <v>132</v>
      </c>
      <c r="D33" s="177" t="s">
        <v>148</v>
      </c>
      <c r="E33" s="78" t="s">
        <v>129</v>
      </c>
      <c r="F33" s="79"/>
      <c r="G33" s="80" t="s">
        <v>0</v>
      </c>
      <c r="H33" s="132"/>
      <c r="I33" s="81" t="s">
        <v>3</v>
      </c>
      <c r="J33" s="52"/>
      <c r="K33" s="94"/>
      <c r="L33" s="94"/>
      <c r="M33" s="94"/>
      <c r="N33" s="104">
        <f>'Classificação 1ª fase'!B26</f>
        <v>4</v>
      </c>
      <c r="O33" s="105" t="str">
        <f>'Classificação 1ª fase'!C26</f>
        <v>Austrália</v>
      </c>
      <c r="P33" s="98">
        <f>'Classificação 1ª fase'!D26</f>
        <v>0</v>
      </c>
      <c r="Q33" s="98">
        <f>'Classificação 1ª fase'!E26</f>
        <v>1</v>
      </c>
      <c r="R33" s="98">
        <f>'Classificação 1ª fase'!F26</f>
        <v>0</v>
      </c>
      <c r="S33" s="98">
        <f>'Classificação 1ª fase'!G26</f>
        <v>1</v>
      </c>
      <c r="T33" s="98">
        <f>'Classificação 1ª fase'!H26</f>
        <v>0</v>
      </c>
      <c r="U33" s="98">
        <f>'Classificação 1ª fase'!I26</f>
        <v>1</v>
      </c>
      <c r="V33" s="98">
        <f>'Classificação 1ª fase'!J26</f>
        <v>4</v>
      </c>
      <c r="W33" s="99">
        <f>'Classificação 1ª fase'!K26</f>
        <v>-3</v>
      </c>
      <c r="X33" s="94"/>
    </row>
    <row r="34" spans="1:24" s="60" customFormat="1" ht="35.1" customHeight="1" thickBot="1" x14ac:dyDescent="0.25">
      <c r="A34" s="486"/>
      <c r="B34" s="173">
        <v>44895</v>
      </c>
      <c r="C34" s="195" t="s">
        <v>132</v>
      </c>
      <c r="D34" s="178" t="s">
        <v>164</v>
      </c>
      <c r="E34" s="90" t="s">
        <v>159</v>
      </c>
      <c r="F34" s="91"/>
      <c r="G34" s="92" t="s">
        <v>0</v>
      </c>
      <c r="H34" s="135"/>
      <c r="I34" s="93" t="s">
        <v>127</v>
      </c>
      <c r="J34" s="52"/>
      <c r="K34" s="94"/>
      <c r="L34" s="94"/>
      <c r="M34" s="94"/>
      <c r="N34" s="63"/>
      <c r="O34" s="100"/>
      <c r="P34" s="63"/>
      <c r="Q34" s="115">
        <f>SUM(Q30:Q33)</f>
        <v>4</v>
      </c>
      <c r="R34" s="63"/>
      <c r="S34" s="63"/>
      <c r="T34" s="63"/>
      <c r="U34" s="63"/>
      <c r="V34" s="63"/>
      <c r="W34" s="63"/>
      <c r="X34" s="94"/>
    </row>
    <row r="35" spans="1:24" s="60" customFormat="1" ht="35.1" customHeight="1" thickBot="1" x14ac:dyDescent="0.25">
      <c r="A35" s="484" t="s">
        <v>39</v>
      </c>
      <c r="B35" s="175">
        <v>44888</v>
      </c>
      <c r="C35" s="196" t="s">
        <v>135</v>
      </c>
      <c r="D35" s="179" t="s">
        <v>143</v>
      </c>
      <c r="E35" s="74" t="s">
        <v>7</v>
      </c>
      <c r="F35" s="75"/>
      <c r="G35" s="76" t="s">
        <v>0</v>
      </c>
      <c r="H35" s="131"/>
      <c r="I35" s="77" t="s">
        <v>8</v>
      </c>
      <c r="J35" s="52"/>
      <c r="K35" s="94"/>
      <c r="L35" s="94"/>
      <c r="M35" s="94"/>
      <c r="N35" s="502" t="str">
        <f>'Classificação 1ª fase'!B28</f>
        <v>Grupo E</v>
      </c>
      <c r="O35" s="503"/>
      <c r="P35" s="148" t="str">
        <f>'Classificação 1ª fase'!D28</f>
        <v>PG</v>
      </c>
      <c r="Q35" s="148" t="str">
        <f>'Classificação 1ª fase'!E28</f>
        <v>J</v>
      </c>
      <c r="R35" s="148" t="str">
        <f>'Classificação 1ª fase'!F28</f>
        <v>V</v>
      </c>
      <c r="S35" s="148" t="str">
        <f>'Classificação 1ª fase'!G28</f>
        <v>D</v>
      </c>
      <c r="T35" s="148" t="str">
        <f>'Classificação 1ª fase'!H28</f>
        <v>E</v>
      </c>
      <c r="U35" s="148" t="str">
        <f>'Classificação 1ª fase'!I28</f>
        <v>GP</v>
      </c>
      <c r="V35" s="148" t="str">
        <f>'Classificação 1ª fase'!J28</f>
        <v>GC</v>
      </c>
      <c r="W35" s="149" t="str">
        <f>'Classificação 1ª fase'!K28</f>
        <v>SG</v>
      </c>
      <c r="X35" s="94"/>
    </row>
    <row r="36" spans="1:24" s="60" customFormat="1" ht="35.1" customHeight="1" x14ac:dyDescent="0.2">
      <c r="A36" s="485"/>
      <c r="B36" s="171">
        <v>44888</v>
      </c>
      <c r="C36" s="194" t="s">
        <v>134</v>
      </c>
      <c r="D36" s="172" t="s">
        <v>157</v>
      </c>
      <c r="E36" s="78" t="s">
        <v>11</v>
      </c>
      <c r="F36" s="79"/>
      <c r="G36" s="80" t="s">
        <v>0</v>
      </c>
      <c r="H36" s="132"/>
      <c r="I36" s="81" t="s">
        <v>160</v>
      </c>
      <c r="J36" s="52"/>
      <c r="K36" s="94"/>
      <c r="L36" s="94"/>
      <c r="M36" s="94"/>
      <c r="N36" s="103">
        <f>'Classificação 1ª fase'!B29</f>
        <v>1</v>
      </c>
      <c r="O36" s="100" t="str">
        <f>'Classificação 1ª fase'!C29</f>
        <v>Japão</v>
      </c>
      <c r="P36" s="63">
        <f>'Classificação 1ª fase'!D29</f>
        <v>0</v>
      </c>
      <c r="Q36" s="63">
        <f>'Classificação 1ª fase'!E29</f>
        <v>0</v>
      </c>
      <c r="R36" s="63">
        <f>'Classificação 1ª fase'!F29</f>
        <v>0</v>
      </c>
      <c r="S36" s="63">
        <f>'Classificação 1ª fase'!G29</f>
        <v>0</v>
      </c>
      <c r="T36" s="63">
        <f>'Classificação 1ª fase'!H29</f>
        <v>0</v>
      </c>
      <c r="U36" s="63">
        <f>'Classificação 1ª fase'!I29</f>
        <v>0</v>
      </c>
      <c r="V36" s="63">
        <f>'Classificação 1ª fase'!J29</f>
        <v>0</v>
      </c>
      <c r="W36" s="95">
        <f>'Classificação 1ª fase'!K29</f>
        <v>0</v>
      </c>
      <c r="X36" s="94"/>
    </row>
    <row r="37" spans="1:24" s="60" customFormat="1" ht="35.1" customHeight="1" thickBot="1" x14ac:dyDescent="0.25">
      <c r="A37" s="485"/>
      <c r="B37" s="171">
        <v>44892</v>
      </c>
      <c r="C37" s="194" t="s">
        <v>133</v>
      </c>
      <c r="D37" s="172" t="s">
        <v>162</v>
      </c>
      <c r="E37" s="78" t="s">
        <v>8</v>
      </c>
      <c r="F37" s="79"/>
      <c r="G37" s="80" t="s">
        <v>0</v>
      </c>
      <c r="H37" s="132"/>
      <c r="I37" s="81" t="s">
        <v>160</v>
      </c>
      <c r="J37" s="52"/>
      <c r="K37" s="94"/>
      <c r="L37" s="94"/>
      <c r="M37" s="94"/>
      <c r="N37" s="106" t="str">
        <f>'Classificação 1ª fase'!B30</f>
        <v>-</v>
      </c>
      <c r="O37" s="107" t="str">
        <f>'Classificação 1ª fase'!C30</f>
        <v>Espanha</v>
      </c>
      <c r="P37" s="96">
        <f>'Classificação 1ª fase'!D30</f>
        <v>0</v>
      </c>
      <c r="Q37" s="96">
        <f>'Classificação 1ª fase'!E30</f>
        <v>0</v>
      </c>
      <c r="R37" s="96">
        <f>'Classificação 1ª fase'!F30</f>
        <v>0</v>
      </c>
      <c r="S37" s="96">
        <f>'Classificação 1ª fase'!G30</f>
        <v>0</v>
      </c>
      <c r="T37" s="96">
        <f>'Classificação 1ª fase'!H30</f>
        <v>0</v>
      </c>
      <c r="U37" s="96">
        <f>'Classificação 1ª fase'!I30</f>
        <v>0</v>
      </c>
      <c r="V37" s="96">
        <f>'Classificação 1ª fase'!J30</f>
        <v>0</v>
      </c>
      <c r="W37" s="97">
        <f>'Classificação 1ª fase'!K30</f>
        <v>0</v>
      </c>
      <c r="X37" s="94"/>
    </row>
    <row r="38" spans="1:24" s="60" customFormat="1" ht="35.1" customHeight="1" thickTop="1" x14ac:dyDescent="0.2">
      <c r="A38" s="485"/>
      <c r="B38" s="171">
        <v>44892</v>
      </c>
      <c r="C38" s="194" t="s">
        <v>136</v>
      </c>
      <c r="D38" s="172" t="s">
        <v>161</v>
      </c>
      <c r="E38" s="78" t="s">
        <v>11</v>
      </c>
      <c r="F38" s="79"/>
      <c r="G38" s="80" t="s">
        <v>0</v>
      </c>
      <c r="H38" s="132"/>
      <c r="I38" s="81" t="s">
        <v>7</v>
      </c>
      <c r="J38" s="52"/>
      <c r="K38" s="94"/>
      <c r="L38" s="94"/>
      <c r="M38" s="94"/>
      <c r="N38" s="103" t="str">
        <f>'Classificação 1ª fase'!B31</f>
        <v>-</v>
      </c>
      <c r="O38" s="100" t="str">
        <f>'Classificação 1ª fase'!C31</f>
        <v>Costa Rica</v>
      </c>
      <c r="P38" s="63">
        <f>'Classificação 1ª fase'!D31</f>
        <v>0</v>
      </c>
      <c r="Q38" s="63">
        <f>'Classificação 1ª fase'!E31</f>
        <v>0</v>
      </c>
      <c r="R38" s="63">
        <f>'Classificação 1ª fase'!F31</f>
        <v>0</v>
      </c>
      <c r="S38" s="63">
        <f>'Classificação 1ª fase'!G31</f>
        <v>0</v>
      </c>
      <c r="T38" s="63">
        <f>'Classificação 1ª fase'!H31</f>
        <v>0</v>
      </c>
      <c r="U38" s="63">
        <f>'Classificação 1ª fase'!I31</f>
        <v>0</v>
      </c>
      <c r="V38" s="63">
        <f>'Classificação 1ª fase'!J31</f>
        <v>0</v>
      </c>
      <c r="W38" s="95">
        <f>'Classificação 1ª fase'!K31</f>
        <v>0</v>
      </c>
      <c r="X38" s="94"/>
    </row>
    <row r="39" spans="1:24" s="60" customFormat="1" ht="35.1" customHeight="1" thickBot="1" x14ac:dyDescent="0.25">
      <c r="A39" s="485"/>
      <c r="B39" s="171">
        <v>44896</v>
      </c>
      <c r="C39" s="194" t="s">
        <v>136</v>
      </c>
      <c r="D39" s="172" t="s">
        <v>143</v>
      </c>
      <c r="E39" s="78" t="s">
        <v>8</v>
      </c>
      <c r="F39" s="79"/>
      <c r="G39" s="80" t="s">
        <v>0</v>
      </c>
      <c r="H39" s="132"/>
      <c r="I39" s="81" t="s">
        <v>11</v>
      </c>
      <c r="J39" s="52"/>
      <c r="K39" s="94"/>
      <c r="L39" s="94"/>
      <c r="M39" s="94"/>
      <c r="N39" s="104" t="str">
        <f>'Classificação 1ª fase'!B32</f>
        <v>-</v>
      </c>
      <c r="O39" s="105" t="str">
        <f>'Classificação 1ª fase'!C32</f>
        <v>Alemanha</v>
      </c>
      <c r="P39" s="98">
        <f>'Classificação 1ª fase'!D32</f>
        <v>0</v>
      </c>
      <c r="Q39" s="98">
        <f>'Classificação 1ª fase'!E32</f>
        <v>0</v>
      </c>
      <c r="R39" s="98">
        <f>'Classificação 1ª fase'!F32</f>
        <v>0</v>
      </c>
      <c r="S39" s="98">
        <f>'Classificação 1ª fase'!G32</f>
        <v>0</v>
      </c>
      <c r="T39" s="98">
        <f>'Classificação 1ª fase'!H32</f>
        <v>0</v>
      </c>
      <c r="U39" s="98">
        <f>'Classificação 1ª fase'!I32</f>
        <v>0</v>
      </c>
      <c r="V39" s="98">
        <f>'Classificação 1ª fase'!J32</f>
        <v>0</v>
      </c>
      <c r="W39" s="99">
        <f>'Classificação 1ª fase'!K32</f>
        <v>0</v>
      </c>
      <c r="X39" s="94"/>
    </row>
    <row r="40" spans="1:24" s="60" customFormat="1" ht="35.1" customHeight="1" thickBot="1" x14ac:dyDescent="0.25">
      <c r="A40" s="486"/>
      <c r="B40" s="173">
        <v>44896</v>
      </c>
      <c r="C40" s="195" t="s">
        <v>136</v>
      </c>
      <c r="D40" s="174" t="s">
        <v>161</v>
      </c>
      <c r="E40" s="86" t="s">
        <v>160</v>
      </c>
      <c r="F40" s="87"/>
      <c r="G40" s="88" t="s">
        <v>0</v>
      </c>
      <c r="H40" s="133"/>
      <c r="I40" s="89" t="s">
        <v>7</v>
      </c>
      <c r="J40" s="52"/>
      <c r="K40" s="94"/>
      <c r="L40" s="94"/>
      <c r="M40" s="94"/>
      <c r="N40" s="63"/>
      <c r="O40" s="100"/>
      <c r="P40" s="63"/>
      <c r="Q40" s="115">
        <f>SUM(Q36:Q39)</f>
        <v>0</v>
      </c>
      <c r="R40" s="63"/>
      <c r="S40" s="63"/>
      <c r="T40" s="63"/>
      <c r="U40" s="63"/>
      <c r="V40" s="63"/>
      <c r="W40" s="63"/>
      <c r="X40" s="94"/>
    </row>
    <row r="41" spans="1:24" s="60" customFormat="1" ht="35.1" customHeight="1" thickBot="1" x14ac:dyDescent="0.25">
      <c r="A41" s="484" t="s">
        <v>52</v>
      </c>
      <c r="B41" s="175">
        <v>44888</v>
      </c>
      <c r="C41" s="196" t="s">
        <v>133</v>
      </c>
      <c r="D41" s="176" t="s">
        <v>161</v>
      </c>
      <c r="E41" s="82" t="s">
        <v>126</v>
      </c>
      <c r="F41" s="83"/>
      <c r="G41" s="84" t="s">
        <v>0</v>
      </c>
      <c r="H41" s="134"/>
      <c r="I41" s="85" t="s">
        <v>70</v>
      </c>
      <c r="J41" s="52"/>
      <c r="K41" s="94"/>
      <c r="L41" s="94"/>
      <c r="M41" s="94"/>
      <c r="N41" s="502" t="str">
        <f>'Classificação 1ª fase'!B34</f>
        <v>Grupo F</v>
      </c>
      <c r="O41" s="503"/>
      <c r="P41" s="148" t="str">
        <f>'Classificação 1ª fase'!D34</f>
        <v>PG</v>
      </c>
      <c r="Q41" s="148" t="str">
        <f>'Classificação 1ª fase'!E34</f>
        <v>J</v>
      </c>
      <c r="R41" s="148" t="str">
        <f>'Classificação 1ª fase'!F34</f>
        <v>V</v>
      </c>
      <c r="S41" s="148" t="str">
        <f>'Classificação 1ª fase'!G34</f>
        <v>D</v>
      </c>
      <c r="T41" s="148" t="str">
        <f>'Classificação 1ª fase'!H34</f>
        <v>E</v>
      </c>
      <c r="U41" s="148" t="str">
        <f>'Classificação 1ª fase'!I34</f>
        <v>GP</v>
      </c>
      <c r="V41" s="148" t="str">
        <f>'Classificação 1ª fase'!J34</f>
        <v>GC</v>
      </c>
      <c r="W41" s="149" t="str">
        <f>'Classificação 1ª fase'!K34</f>
        <v>SG</v>
      </c>
      <c r="X41" s="94"/>
    </row>
    <row r="42" spans="1:24" s="60" customFormat="1" ht="35.1" customHeight="1" x14ac:dyDescent="0.2">
      <c r="A42" s="485"/>
      <c r="B42" s="171">
        <v>44888</v>
      </c>
      <c r="C42" s="194" t="s">
        <v>136</v>
      </c>
      <c r="D42" s="177" t="s">
        <v>162</v>
      </c>
      <c r="E42" s="78" t="s">
        <v>104</v>
      </c>
      <c r="F42" s="79"/>
      <c r="G42" s="80" t="s">
        <v>0</v>
      </c>
      <c r="H42" s="132"/>
      <c r="I42" s="81" t="s">
        <v>150</v>
      </c>
      <c r="J42" s="52"/>
      <c r="K42" s="94"/>
      <c r="L42" s="94"/>
      <c r="M42" s="94"/>
      <c r="N42" s="103">
        <f>'Classificação 1ª fase'!B35</f>
        <v>1</v>
      </c>
      <c r="O42" s="100" t="str">
        <f>'Classificação 1ª fase'!C35</f>
        <v>Marrocos</v>
      </c>
      <c r="P42" s="63">
        <f>'Classificação 1ª fase'!D35</f>
        <v>0</v>
      </c>
      <c r="Q42" s="63">
        <f>'Classificação 1ª fase'!E35</f>
        <v>0</v>
      </c>
      <c r="R42" s="63">
        <f>'Classificação 1ª fase'!F35</f>
        <v>0</v>
      </c>
      <c r="S42" s="63">
        <f>'Classificação 1ª fase'!G35</f>
        <v>0</v>
      </c>
      <c r="T42" s="63">
        <f>'Classificação 1ª fase'!H35</f>
        <v>0</v>
      </c>
      <c r="U42" s="63">
        <f>'Classificação 1ª fase'!I35</f>
        <v>0</v>
      </c>
      <c r="V42" s="63">
        <f>'Classificação 1ª fase'!J35</f>
        <v>0</v>
      </c>
      <c r="W42" s="95">
        <f>'Classificação 1ª fase'!K35</f>
        <v>0</v>
      </c>
      <c r="X42" s="94"/>
    </row>
    <row r="43" spans="1:24" s="60" customFormat="1" ht="35.1" customHeight="1" thickBot="1" x14ac:dyDescent="0.25">
      <c r="A43" s="485"/>
      <c r="B43" s="171">
        <v>44892</v>
      </c>
      <c r="C43" s="194" t="s">
        <v>135</v>
      </c>
      <c r="D43" s="177" t="s">
        <v>157</v>
      </c>
      <c r="E43" s="78" t="s">
        <v>104</v>
      </c>
      <c r="F43" s="79"/>
      <c r="G43" s="80" t="s">
        <v>0</v>
      </c>
      <c r="H43" s="132"/>
      <c r="I43" s="81" t="s">
        <v>126</v>
      </c>
      <c r="J43" s="52"/>
      <c r="K43" s="94"/>
      <c r="L43" s="94"/>
      <c r="M43" s="94"/>
      <c r="N43" s="106" t="str">
        <f>'Classificação 1ª fase'!B36</f>
        <v>-</v>
      </c>
      <c r="O43" s="107" t="str">
        <f>'Classificação 1ª fase'!C36</f>
        <v>Croácia</v>
      </c>
      <c r="P43" s="96">
        <f>'Classificação 1ª fase'!D36</f>
        <v>0</v>
      </c>
      <c r="Q43" s="96">
        <f>'Classificação 1ª fase'!E36</f>
        <v>0</v>
      </c>
      <c r="R43" s="96">
        <f>'Classificação 1ª fase'!F36</f>
        <v>0</v>
      </c>
      <c r="S43" s="96">
        <f>'Classificação 1ª fase'!G36</f>
        <v>0</v>
      </c>
      <c r="T43" s="96">
        <f>'Classificação 1ª fase'!H36</f>
        <v>0</v>
      </c>
      <c r="U43" s="96">
        <f>'Classificação 1ª fase'!I36</f>
        <v>0</v>
      </c>
      <c r="V43" s="96">
        <f>'Classificação 1ª fase'!J36</f>
        <v>0</v>
      </c>
      <c r="W43" s="97">
        <f>'Classificação 1ª fase'!K36</f>
        <v>0</v>
      </c>
      <c r="X43" s="94"/>
    </row>
    <row r="44" spans="1:24" s="60" customFormat="1" ht="35.1" customHeight="1" thickTop="1" x14ac:dyDescent="0.2">
      <c r="A44" s="485"/>
      <c r="B44" s="171">
        <v>44892</v>
      </c>
      <c r="C44" s="194" t="s">
        <v>134</v>
      </c>
      <c r="D44" s="177" t="s">
        <v>143</v>
      </c>
      <c r="E44" s="78" t="s">
        <v>70</v>
      </c>
      <c r="F44" s="79"/>
      <c r="G44" s="80" t="s">
        <v>0</v>
      </c>
      <c r="H44" s="132"/>
      <c r="I44" s="81" t="s">
        <v>150</v>
      </c>
      <c r="J44" s="52"/>
      <c r="K44" s="94"/>
      <c r="L44" s="94"/>
      <c r="M44" s="94"/>
      <c r="N44" s="103" t="str">
        <f>'Classificação 1ª fase'!B37</f>
        <v>-</v>
      </c>
      <c r="O44" s="100" t="str">
        <f>'Classificação 1ª fase'!C37</f>
        <v>Canadá</v>
      </c>
      <c r="P44" s="63">
        <f>'Classificação 1ª fase'!D37</f>
        <v>0</v>
      </c>
      <c r="Q44" s="63">
        <f>'Classificação 1ª fase'!E37</f>
        <v>0</v>
      </c>
      <c r="R44" s="63">
        <f>'Classificação 1ª fase'!F37</f>
        <v>0</v>
      </c>
      <c r="S44" s="63">
        <f>'Classificação 1ª fase'!G37</f>
        <v>0</v>
      </c>
      <c r="T44" s="63">
        <f>'Classificação 1ª fase'!H37</f>
        <v>0</v>
      </c>
      <c r="U44" s="63">
        <f>'Classificação 1ª fase'!I37</f>
        <v>0</v>
      </c>
      <c r="V44" s="63">
        <f>'Classificação 1ª fase'!J37</f>
        <v>0</v>
      </c>
      <c r="W44" s="95">
        <f>'Classificação 1ª fase'!K37</f>
        <v>0</v>
      </c>
      <c r="X44" s="94"/>
    </row>
    <row r="45" spans="1:24" s="60" customFormat="1" ht="35.1" customHeight="1" thickBot="1" x14ac:dyDescent="0.25">
      <c r="A45" s="485"/>
      <c r="B45" s="171">
        <v>44896</v>
      </c>
      <c r="C45" s="194" t="s">
        <v>132</v>
      </c>
      <c r="D45" s="177" t="s">
        <v>162</v>
      </c>
      <c r="E45" s="78" t="s">
        <v>70</v>
      </c>
      <c r="F45" s="79"/>
      <c r="G45" s="80" t="s">
        <v>0</v>
      </c>
      <c r="H45" s="132"/>
      <c r="I45" s="81" t="s">
        <v>104</v>
      </c>
      <c r="J45" s="52"/>
      <c r="K45" s="94"/>
      <c r="L45" s="94"/>
      <c r="M45" s="94"/>
      <c r="N45" s="104" t="str">
        <f>'Classificação 1ª fase'!B38</f>
        <v>-</v>
      </c>
      <c r="O45" s="105" t="str">
        <f>'Classificação 1ª fase'!C38</f>
        <v>Bélgica</v>
      </c>
      <c r="P45" s="98">
        <f>'Classificação 1ª fase'!D38</f>
        <v>0</v>
      </c>
      <c r="Q45" s="98">
        <f>'Classificação 1ª fase'!E38</f>
        <v>0</v>
      </c>
      <c r="R45" s="98">
        <f>'Classificação 1ª fase'!F38</f>
        <v>0</v>
      </c>
      <c r="S45" s="98">
        <f>'Classificação 1ª fase'!G38</f>
        <v>0</v>
      </c>
      <c r="T45" s="98">
        <f>'Classificação 1ª fase'!H38</f>
        <v>0</v>
      </c>
      <c r="U45" s="98">
        <f>'Classificação 1ª fase'!I38</f>
        <v>0</v>
      </c>
      <c r="V45" s="98">
        <f>'Classificação 1ª fase'!J38</f>
        <v>0</v>
      </c>
      <c r="W45" s="99">
        <f>'Classificação 1ª fase'!K38</f>
        <v>0</v>
      </c>
      <c r="X45" s="94"/>
    </row>
    <row r="46" spans="1:24" s="60" customFormat="1" ht="35.1" customHeight="1" thickBot="1" x14ac:dyDescent="0.25">
      <c r="A46" s="486"/>
      <c r="B46" s="173">
        <v>44896</v>
      </c>
      <c r="C46" s="195" t="s">
        <v>132</v>
      </c>
      <c r="D46" s="178" t="s">
        <v>157</v>
      </c>
      <c r="E46" s="90" t="s">
        <v>150</v>
      </c>
      <c r="F46" s="91"/>
      <c r="G46" s="92" t="s">
        <v>0</v>
      </c>
      <c r="H46" s="135"/>
      <c r="I46" s="93" t="s">
        <v>126</v>
      </c>
      <c r="J46" s="52"/>
      <c r="K46" s="94"/>
      <c r="L46" s="94"/>
      <c r="M46" s="94"/>
      <c r="N46" s="63"/>
      <c r="O46" s="100"/>
      <c r="P46" s="63"/>
      <c r="Q46" s="115">
        <f>SUM(Q42:Q45)</f>
        <v>0</v>
      </c>
      <c r="R46" s="63"/>
      <c r="S46" s="63"/>
      <c r="T46" s="63"/>
      <c r="U46" s="63"/>
      <c r="V46" s="63"/>
      <c r="W46" s="63"/>
      <c r="X46" s="94"/>
    </row>
    <row r="47" spans="1:24" s="60" customFormat="1" ht="35.1" customHeight="1" thickBot="1" x14ac:dyDescent="0.25">
      <c r="A47" s="484" t="s">
        <v>54</v>
      </c>
      <c r="B47" s="175">
        <v>44889</v>
      </c>
      <c r="C47" s="196" t="s">
        <v>133</v>
      </c>
      <c r="D47" s="179" t="s">
        <v>164</v>
      </c>
      <c r="E47" s="74" t="s">
        <v>12</v>
      </c>
      <c r="F47" s="75"/>
      <c r="G47" s="76" t="s">
        <v>0</v>
      </c>
      <c r="H47" s="131"/>
      <c r="I47" s="77" t="s">
        <v>151</v>
      </c>
      <c r="J47" s="52"/>
      <c r="K47" s="94"/>
      <c r="L47" s="94"/>
      <c r="M47" s="94"/>
      <c r="N47" s="502" t="str">
        <f>'Classificação 1ª fase'!B40</f>
        <v>Grupo G</v>
      </c>
      <c r="O47" s="503"/>
      <c r="P47" s="148" t="str">
        <f>'Classificação 1ª fase'!D40</f>
        <v>PG</v>
      </c>
      <c r="Q47" s="148" t="str">
        <f>'Classificação 1ª fase'!E40</f>
        <v>J</v>
      </c>
      <c r="R47" s="148" t="str">
        <f>'Classificação 1ª fase'!F40</f>
        <v>V</v>
      </c>
      <c r="S47" s="148" t="str">
        <f>'Classificação 1ª fase'!G40</f>
        <v>D</v>
      </c>
      <c r="T47" s="148" t="str">
        <f>'Classificação 1ª fase'!H40</f>
        <v>E</v>
      </c>
      <c r="U47" s="148" t="str">
        <f>'Classificação 1ª fase'!I40</f>
        <v>GP</v>
      </c>
      <c r="V47" s="148" t="str">
        <f>'Classificação 1ª fase'!J40</f>
        <v>GC</v>
      </c>
      <c r="W47" s="149" t="str">
        <f>'Classificação 1ª fase'!K40</f>
        <v>SG</v>
      </c>
      <c r="X47" s="94"/>
    </row>
    <row r="48" spans="1:24" s="60" customFormat="1" ht="35.1" customHeight="1" x14ac:dyDescent="0.2">
      <c r="A48" s="485"/>
      <c r="B48" s="171">
        <v>44889</v>
      </c>
      <c r="C48" s="194" t="s">
        <v>136</v>
      </c>
      <c r="D48" s="172" t="s">
        <v>146</v>
      </c>
      <c r="E48" s="78" t="s">
        <v>10</v>
      </c>
      <c r="F48" s="79"/>
      <c r="G48" s="80" t="s">
        <v>0</v>
      </c>
      <c r="H48" s="132"/>
      <c r="I48" s="81" t="s">
        <v>128</v>
      </c>
      <c r="J48" s="52"/>
      <c r="K48" s="94"/>
      <c r="L48" s="94"/>
      <c r="M48" s="94"/>
      <c r="N48" s="111">
        <f>'Classificação 1ª fase'!B41</f>
        <v>1</v>
      </c>
      <c r="O48" s="112" t="str">
        <f>'Classificação 1ª fase'!C41</f>
        <v>Suíça</v>
      </c>
      <c r="P48" s="101">
        <f>'Classificação 1ª fase'!D41</f>
        <v>0</v>
      </c>
      <c r="Q48" s="101">
        <f>'Classificação 1ª fase'!E41</f>
        <v>0</v>
      </c>
      <c r="R48" s="101">
        <f>'Classificação 1ª fase'!F41</f>
        <v>0</v>
      </c>
      <c r="S48" s="101">
        <f>'Classificação 1ª fase'!G41</f>
        <v>0</v>
      </c>
      <c r="T48" s="101">
        <f>'Classificação 1ª fase'!H41</f>
        <v>0</v>
      </c>
      <c r="U48" s="101">
        <f>'Classificação 1ª fase'!I41</f>
        <v>0</v>
      </c>
      <c r="V48" s="101">
        <f>'Classificação 1ª fase'!J41</f>
        <v>0</v>
      </c>
      <c r="W48" s="102">
        <f>'Classificação 1ª fase'!K41</f>
        <v>0</v>
      </c>
      <c r="X48" s="94"/>
    </row>
    <row r="49" spans="1:24" s="60" customFormat="1" ht="35.1" customHeight="1" thickBot="1" x14ac:dyDescent="0.25">
      <c r="A49" s="485"/>
      <c r="B49" s="171">
        <v>44893</v>
      </c>
      <c r="C49" s="194" t="s">
        <v>133</v>
      </c>
      <c r="D49" s="172" t="s">
        <v>164</v>
      </c>
      <c r="E49" s="78" t="s">
        <v>151</v>
      </c>
      <c r="F49" s="79"/>
      <c r="G49" s="80" t="s">
        <v>0</v>
      </c>
      <c r="H49" s="132"/>
      <c r="I49" s="81" t="s">
        <v>128</v>
      </c>
      <c r="J49" s="52"/>
      <c r="K49" s="94"/>
      <c r="L49" s="94"/>
      <c r="M49" s="94"/>
      <c r="N49" s="106" t="str">
        <f>'Classificação 1ª fase'!B42</f>
        <v>-</v>
      </c>
      <c r="O49" s="107" t="str">
        <f>'Classificação 1ª fase'!C42</f>
        <v>Sérvia</v>
      </c>
      <c r="P49" s="96">
        <f>'Classificação 1ª fase'!D42</f>
        <v>0</v>
      </c>
      <c r="Q49" s="96">
        <f>'Classificação 1ª fase'!E42</f>
        <v>0</v>
      </c>
      <c r="R49" s="96">
        <f>'Classificação 1ª fase'!F42</f>
        <v>0</v>
      </c>
      <c r="S49" s="96">
        <f>'Classificação 1ª fase'!G42</f>
        <v>0</v>
      </c>
      <c r="T49" s="96">
        <f>'Classificação 1ª fase'!H42</f>
        <v>0</v>
      </c>
      <c r="U49" s="96">
        <f>'Classificação 1ª fase'!I42</f>
        <v>0</v>
      </c>
      <c r="V49" s="96">
        <f>'Classificação 1ª fase'!J42</f>
        <v>0</v>
      </c>
      <c r="W49" s="97">
        <f>'Classificação 1ª fase'!K42</f>
        <v>0</v>
      </c>
      <c r="X49" s="94"/>
    </row>
    <row r="50" spans="1:24" s="60" customFormat="1" ht="35.1" customHeight="1" thickTop="1" x14ac:dyDescent="0.2">
      <c r="A50" s="485"/>
      <c r="B50" s="171">
        <v>44893</v>
      </c>
      <c r="C50" s="194" t="s">
        <v>134</v>
      </c>
      <c r="D50" s="172" t="s">
        <v>163</v>
      </c>
      <c r="E50" s="78" t="s">
        <v>10</v>
      </c>
      <c r="F50" s="79"/>
      <c r="G50" s="80" t="s">
        <v>0</v>
      </c>
      <c r="H50" s="132"/>
      <c r="I50" s="81" t="s">
        <v>12</v>
      </c>
      <c r="J50" s="52"/>
      <c r="K50" s="94"/>
      <c r="L50" s="94"/>
      <c r="M50" s="94"/>
      <c r="N50" s="103" t="str">
        <f>'Classificação 1ª fase'!B43</f>
        <v>-</v>
      </c>
      <c r="O50" s="100" t="str">
        <f>'Classificação 1ª fase'!C43</f>
        <v>Camarões</v>
      </c>
      <c r="P50" s="63">
        <f>'Classificação 1ª fase'!D43</f>
        <v>0</v>
      </c>
      <c r="Q50" s="63">
        <f>'Classificação 1ª fase'!E43</f>
        <v>0</v>
      </c>
      <c r="R50" s="63">
        <f>'Classificação 1ª fase'!F43</f>
        <v>0</v>
      </c>
      <c r="S50" s="63">
        <f>'Classificação 1ª fase'!G43</f>
        <v>0</v>
      </c>
      <c r="T50" s="63">
        <f>'Classificação 1ª fase'!H43</f>
        <v>0</v>
      </c>
      <c r="U50" s="63">
        <f>'Classificação 1ª fase'!I43</f>
        <v>0</v>
      </c>
      <c r="V50" s="63">
        <f>'Classificação 1ª fase'!J43</f>
        <v>0</v>
      </c>
      <c r="W50" s="95">
        <f>'Classificação 1ª fase'!K43</f>
        <v>0</v>
      </c>
      <c r="X50" s="94"/>
    </row>
    <row r="51" spans="1:24" s="60" customFormat="1" ht="35.1" customHeight="1" thickBot="1" x14ac:dyDescent="0.25">
      <c r="A51" s="485"/>
      <c r="B51" s="171">
        <v>44897</v>
      </c>
      <c r="C51" s="194" t="s">
        <v>136</v>
      </c>
      <c r="D51" s="172" t="s">
        <v>146</v>
      </c>
      <c r="E51" s="78" t="s">
        <v>151</v>
      </c>
      <c r="F51" s="79"/>
      <c r="G51" s="80" t="s">
        <v>0</v>
      </c>
      <c r="H51" s="132"/>
      <c r="I51" s="81" t="s">
        <v>10</v>
      </c>
      <c r="J51" s="52"/>
      <c r="K51" s="94"/>
      <c r="L51" s="94"/>
      <c r="M51" s="94"/>
      <c r="N51" s="104" t="str">
        <f>'Classificação 1ª fase'!B44</f>
        <v>-</v>
      </c>
      <c r="O51" s="105" t="str">
        <f>'Classificação 1ª fase'!C44</f>
        <v>Brasil</v>
      </c>
      <c r="P51" s="98">
        <f>'Classificação 1ª fase'!D44</f>
        <v>0</v>
      </c>
      <c r="Q51" s="98">
        <f>'Classificação 1ª fase'!E44</f>
        <v>0</v>
      </c>
      <c r="R51" s="98">
        <f>'Classificação 1ª fase'!F44</f>
        <v>0</v>
      </c>
      <c r="S51" s="98">
        <f>'Classificação 1ª fase'!G44</f>
        <v>0</v>
      </c>
      <c r="T51" s="98">
        <f>'Classificação 1ª fase'!H44</f>
        <v>0</v>
      </c>
      <c r="U51" s="98">
        <f>'Classificação 1ª fase'!I44</f>
        <v>0</v>
      </c>
      <c r="V51" s="98">
        <f>'Classificação 1ª fase'!J44</f>
        <v>0</v>
      </c>
      <c r="W51" s="99">
        <f>'Classificação 1ª fase'!K44</f>
        <v>0</v>
      </c>
      <c r="X51" s="94"/>
    </row>
    <row r="52" spans="1:24" s="60" customFormat="1" ht="35.1" customHeight="1" thickBot="1" x14ac:dyDescent="0.25">
      <c r="A52" s="486"/>
      <c r="B52" s="173">
        <v>44897</v>
      </c>
      <c r="C52" s="195" t="s">
        <v>136</v>
      </c>
      <c r="D52" s="174" t="s">
        <v>163</v>
      </c>
      <c r="E52" s="86" t="s">
        <v>128</v>
      </c>
      <c r="F52" s="87"/>
      <c r="G52" s="88" t="s">
        <v>0</v>
      </c>
      <c r="H52" s="133"/>
      <c r="I52" s="89" t="s">
        <v>12</v>
      </c>
      <c r="J52" s="52"/>
      <c r="K52" s="94"/>
      <c r="L52" s="94"/>
      <c r="M52" s="94"/>
      <c r="N52" s="63"/>
      <c r="O52" s="100"/>
      <c r="P52" s="63"/>
      <c r="Q52" s="115">
        <f>SUM(Q48:Q51)</f>
        <v>0</v>
      </c>
      <c r="R52" s="63"/>
      <c r="S52" s="63"/>
      <c r="T52" s="63"/>
      <c r="U52" s="63"/>
      <c r="V52" s="63"/>
      <c r="W52" s="63"/>
      <c r="X52" s="94"/>
    </row>
    <row r="53" spans="1:24" s="60" customFormat="1" ht="35.1" customHeight="1" thickBot="1" x14ac:dyDescent="0.25">
      <c r="A53" s="484" t="s">
        <v>55</v>
      </c>
      <c r="B53" s="175">
        <v>44889</v>
      </c>
      <c r="C53" s="196" t="s">
        <v>135</v>
      </c>
      <c r="D53" s="176" t="s">
        <v>148</v>
      </c>
      <c r="E53" s="82" t="s">
        <v>2</v>
      </c>
      <c r="F53" s="83"/>
      <c r="G53" s="84" t="s">
        <v>0</v>
      </c>
      <c r="H53" s="134"/>
      <c r="I53" s="85" t="s">
        <v>5</v>
      </c>
      <c r="J53" s="52"/>
      <c r="K53" s="94"/>
      <c r="L53" s="94"/>
      <c r="M53" s="94"/>
      <c r="N53" s="502" t="str">
        <f>'Classificação 1ª fase'!B46</f>
        <v>Grupo H</v>
      </c>
      <c r="O53" s="503"/>
      <c r="P53" s="148" t="str">
        <f>'Classificação 1ª fase'!D46</f>
        <v>PG</v>
      </c>
      <c r="Q53" s="148" t="str">
        <f>'Classificação 1ª fase'!E46</f>
        <v>J</v>
      </c>
      <c r="R53" s="148" t="str">
        <f>'Classificação 1ª fase'!F46</f>
        <v>V</v>
      </c>
      <c r="S53" s="148" t="str">
        <f>'Classificação 1ª fase'!G46</f>
        <v>D</v>
      </c>
      <c r="T53" s="148" t="str">
        <f>'Classificação 1ª fase'!H46</f>
        <v>E</v>
      </c>
      <c r="U53" s="148" t="str">
        <f>'Classificação 1ª fase'!I46</f>
        <v>GP</v>
      </c>
      <c r="V53" s="148" t="str">
        <f>'Classificação 1ª fase'!J46</f>
        <v>GC</v>
      </c>
      <c r="W53" s="149" t="str">
        <f>'Classificação 1ª fase'!K46</f>
        <v>SG</v>
      </c>
      <c r="X53" s="94"/>
    </row>
    <row r="54" spans="1:24" s="60" customFormat="1" ht="35.1" customHeight="1" x14ac:dyDescent="0.2">
      <c r="A54" s="485"/>
      <c r="B54" s="171">
        <v>44889</v>
      </c>
      <c r="C54" s="194" t="s">
        <v>134</v>
      </c>
      <c r="D54" s="177" t="s">
        <v>163</v>
      </c>
      <c r="E54" s="78" t="s">
        <v>9</v>
      </c>
      <c r="F54" s="79"/>
      <c r="G54" s="80" t="s">
        <v>0</v>
      </c>
      <c r="H54" s="132"/>
      <c r="I54" s="81" t="s">
        <v>152</v>
      </c>
      <c r="J54" s="52"/>
      <c r="K54" s="94"/>
      <c r="L54" s="94"/>
      <c r="M54" s="94"/>
      <c r="N54" s="103">
        <f>'Classificação 1ª fase'!B47</f>
        <v>1</v>
      </c>
      <c r="O54" s="100" t="str">
        <f>'Classificação 1ª fase'!C47</f>
        <v>Gana</v>
      </c>
      <c r="P54" s="63">
        <f>'Classificação 1ª fase'!D47</f>
        <v>0</v>
      </c>
      <c r="Q54" s="63">
        <f>'Classificação 1ª fase'!E47</f>
        <v>0</v>
      </c>
      <c r="R54" s="63">
        <f>'Classificação 1ª fase'!F47</f>
        <v>0</v>
      </c>
      <c r="S54" s="63">
        <f>'Classificação 1ª fase'!G47</f>
        <v>0</v>
      </c>
      <c r="T54" s="63">
        <f>'Classificação 1ª fase'!H47</f>
        <v>0</v>
      </c>
      <c r="U54" s="63">
        <f>'Classificação 1ª fase'!I47</f>
        <v>0</v>
      </c>
      <c r="V54" s="63">
        <f>'Classificação 1ª fase'!J47</f>
        <v>0</v>
      </c>
      <c r="W54" s="95">
        <f>'Classificação 1ª fase'!K47</f>
        <v>0</v>
      </c>
      <c r="X54" s="94"/>
    </row>
    <row r="55" spans="1:24" s="60" customFormat="1" ht="35.1" customHeight="1" thickBot="1" x14ac:dyDescent="0.25">
      <c r="A55" s="485"/>
      <c r="B55" s="171">
        <v>44893</v>
      </c>
      <c r="C55" s="194" t="s">
        <v>135</v>
      </c>
      <c r="D55" s="177" t="s">
        <v>148</v>
      </c>
      <c r="E55" s="78" t="s">
        <v>5</v>
      </c>
      <c r="F55" s="79"/>
      <c r="G55" s="80" t="s">
        <v>0</v>
      </c>
      <c r="H55" s="132"/>
      <c r="I55" s="81" t="s">
        <v>152</v>
      </c>
      <c r="J55" s="52"/>
      <c r="K55" s="94"/>
      <c r="L55" s="94"/>
      <c r="M55" s="94"/>
      <c r="N55" s="106">
        <f>'Classificação 1ª fase'!B48</f>
        <v>2</v>
      </c>
      <c r="O55" s="107" t="str">
        <f>'Classificação 1ª fase'!C48</f>
        <v>Uruguai</v>
      </c>
      <c r="P55" s="96">
        <f>'Classificação 1ª fase'!D48</f>
        <v>0</v>
      </c>
      <c r="Q55" s="96">
        <f>'Classificação 1ª fase'!E48</f>
        <v>0</v>
      </c>
      <c r="R55" s="96">
        <f>'Classificação 1ª fase'!F48</f>
        <v>0</v>
      </c>
      <c r="S55" s="96">
        <f>'Classificação 1ª fase'!G48</f>
        <v>0</v>
      </c>
      <c r="T55" s="96">
        <f>'Classificação 1ª fase'!H48</f>
        <v>0</v>
      </c>
      <c r="U55" s="96">
        <f>'Classificação 1ª fase'!I48</f>
        <v>0</v>
      </c>
      <c r="V55" s="96">
        <f>'Classificação 1ª fase'!J48</f>
        <v>0</v>
      </c>
      <c r="W55" s="97">
        <f>'Classificação 1ª fase'!K48</f>
        <v>0</v>
      </c>
      <c r="X55" s="94"/>
    </row>
    <row r="56" spans="1:24" s="60" customFormat="1" ht="35.1" customHeight="1" thickTop="1" x14ac:dyDescent="0.2">
      <c r="A56" s="485"/>
      <c r="B56" s="171">
        <v>44893</v>
      </c>
      <c r="C56" s="194" t="s">
        <v>136</v>
      </c>
      <c r="D56" s="177" t="s">
        <v>146</v>
      </c>
      <c r="E56" s="78" t="s">
        <v>9</v>
      </c>
      <c r="F56" s="79"/>
      <c r="G56" s="80" t="s">
        <v>0</v>
      </c>
      <c r="H56" s="132"/>
      <c r="I56" s="81" t="s">
        <v>2</v>
      </c>
      <c r="J56" s="52"/>
      <c r="K56" s="94"/>
      <c r="L56" s="94"/>
      <c r="M56" s="94"/>
      <c r="N56" s="103" t="str">
        <f>'Classificação 1ª fase'!B49</f>
        <v>-</v>
      </c>
      <c r="O56" s="100" t="str">
        <f>'Classificação 1ª fase'!C49</f>
        <v>Portugal</v>
      </c>
      <c r="P56" s="63">
        <f>'Classificação 1ª fase'!D49</f>
        <v>0</v>
      </c>
      <c r="Q56" s="63">
        <f>'Classificação 1ª fase'!E49</f>
        <v>0</v>
      </c>
      <c r="R56" s="63">
        <f>'Classificação 1ª fase'!F49</f>
        <v>0</v>
      </c>
      <c r="S56" s="63">
        <f>'Classificação 1ª fase'!G49</f>
        <v>0</v>
      </c>
      <c r="T56" s="63">
        <f>'Classificação 1ª fase'!H49</f>
        <v>0</v>
      </c>
      <c r="U56" s="63">
        <f>'Classificação 1ª fase'!I49</f>
        <v>0</v>
      </c>
      <c r="V56" s="63">
        <f>'Classificação 1ª fase'!J49</f>
        <v>0</v>
      </c>
      <c r="W56" s="95">
        <f>'Classificação 1ª fase'!K49</f>
        <v>0</v>
      </c>
      <c r="X56" s="94"/>
    </row>
    <row r="57" spans="1:24" s="60" customFormat="1" ht="35.1" customHeight="1" thickBot="1" x14ac:dyDescent="0.25">
      <c r="A57" s="485"/>
      <c r="B57" s="171">
        <v>44897</v>
      </c>
      <c r="C57" s="194" t="s">
        <v>132</v>
      </c>
      <c r="D57" s="177" t="s">
        <v>148</v>
      </c>
      <c r="E57" s="78" t="s">
        <v>5</v>
      </c>
      <c r="F57" s="79"/>
      <c r="G57" s="80" t="s">
        <v>0</v>
      </c>
      <c r="H57" s="132"/>
      <c r="I57" s="81" t="s">
        <v>9</v>
      </c>
      <c r="J57" s="52"/>
      <c r="K57" s="94"/>
      <c r="L57" s="94"/>
      <c r="M57" s="94"/>
      <c r="N57" s="104" t="str">
        <f>'Classificação 1ª fase'!B50</f>
        <v>-</v>
      </c>
      <c r="O57" s="105" t="str">
        <f>'Classificação 1ª fase'!C50</f>
        <v>Coreia do Sul</v>
      </c>
      <c r="P57" s="98">
        <f>'Classificação 1ª fase'!D50</f>
        <v>0</v>
      </c>
      <c r="Q57" s="98">
        <f>'Classificação 1ª fase'!E50</f>
        <v>0</v>
      </c>
      <c r="R57" s="98">
        <f>'Classificação 1ª fase'!F50</f>
        <v>0</v>
      </c>
      <c r="S57" s="98">
        <f>'Classificação 1ª fase'!G50</f>
        <v>0</v>
      </c>
      <c r="T57" s="98">
        <f>'Classificação 1ª fase'!H50</f>
        <v>0</v>
      </c>
      <c r="U57" s="98">
        <f>'Classificação 1ª fase'!I50</f>
        <v>0</v>
      </c>
      <c r="V57" s="98">
        <f>'Classificação 1ª fase'!J50</f>
        <v>0</v>
      </c>
      <c r="W57" s="99">
        <f>'Classificação 1ª fase'!K50</f>
        <v>0</v>
      </c>
      <c r="X57" s="94"/>
    </row>
    <row r="58" spans="1:24" s="61" customFormat="1" ht="35.1" customHeight="1" thickBot="1" x14ac:dyDescent="0.25">
      <c r="A58" s="486"/>
      <c r="B58" s="173">
        <v>44897</v>
      </c>
      <c r="C58" s="195" t="s">
        <v>132</v>
      </c>
      <c r="D58" s="178" t="s">
        <v>164</v>
      </c>
      <c r="E58" s="19" t="s">
        <v>152</v>
      </c>
      <c r="F58" s="136"/>
      <c r="G58" s="137" t="s">
        <v>0</v>
      </c>
      <c r="H58" s="138"/>
      <c r="I58" s="130" t="s">
        <v>2</v>
      </c>
      <c r="J58" s="52"/>
      <c r="K58" s="94"/>
      <c r="L58" s="94"/>
      <c r="M58" s="94"/>
      <c r="N58" s="63"/>
      <c r="O58" s="100"/>
      <c r="P58" s="63"/>
      <c r="Q58" s="115">
        <f>SUM(Q54:Q57)</f>
        <v>0</v>
      </c>
      <c r="R58" s="63"/>
      <c r="S58" s="63"/>
      <c r="T58" s="63"/>
      <c r="U58" s="63"/>
      <c r="V58" s="63"/>
      <c r="W58" s="63"/>
      <c r="X58" s="94"/>
    </row>
    <row r="59" spans="1:24" s="58" customFormat="1" ht="15.75" customHeight="1" thickBot="1" x14ac:dyDescent="0.25">
      <c r="A59" s="44"/>
      <c r="B59" s="2"/>
      <c r="C59" s="20"/>
      <c r="D59" s="20"/>
      <c r="E59" s="20"/>
      <c r="F59" s="41"/>
      <c r="G59" s="20"/>
      <c r="H59" s="41"/>
      <c r="I59" s="20"/>
      <c r="J59" s="53"/>
      <c r="K59" s="20"/>
      <c r="L59" s="20"/>
      <c r="M59" s="57"/>
      <c r="N59" s="63"/>
      <c r="O59" s="100"/>
      <c r="P59" s="63"/>
      <c r="Q59" s="63"/>
      <c r="R59" s="63"/>
      <c r="S59" s="63"/>
      <c r="T59" s="63"/>
      <c r="U59" s="63"/>
      <c r="V59" s="63"/>
      <c r="W59" s="63"/>
      <c r="X59" s="57"/>
    </row>
    <row r="60" spans="1:24" s="58" customFormat="1" ht="27" customHeight="1" thickBot="1" x14ac:dyDescent="0.25">
      <c r="A60" s="44"/>
      <c r="B60" s="506" t="s">
        <v>124</v>
      </c>
      <c r="C60" s="507"/>
      <c r="D60" s="507"/>
      <c r="E60" s="507"/>
      <c r="F60" s="507"/>
      <c r="G60" s="507"/>
      <c r="H60" s="507"/>
      <c r="I60" s="507"/>
      <c r="J60" s="507"/>
      <c r="K60" s="507"/>
      <c r="L60" s="508"/>
      <c r="M60" s="1"/>
      <c r="N60" s="63"/>
      <c r="O60" s="100"/>
      <c r="P60" s="63"/>
      <c r="Q60" s="63"/>
      <c r="R60" s="63"/>
      <c r="S60" s="63"/>
      <c r="T60" s="63"/>
      <c r="U60" s="63"/>
      <c r="V60" s="63"/>
      <c r="W60" s="63"/>
      <c r="X60" s="57"/>
    </row>
    <row r="61" spans="1:24" s="58" customFormat="1" ht="20.100000000000001" customHeight="1" thickBot="1" x14ac:dyDescent="0.25">
      <c r="A61" s="44"/>
      <c r="B61" s="161" t="s">
        <v>95</v>
      </c>
      <c r="C61" s="162" t="s">
        <v>74</v>
      </c>
      <c r="D61" s="163" t="s">
        <v>75</v>
      </c>
      <c r="E61" s="164"/>
      <c r="F61" s="165"/>
      <c r="G61" s="166" t="s">
        <v>77</v>
      </c>
      <c r="H61" s="165"/>
      <c r="I61" s="167"/>
      <c r="J61" s="168"/>
      <c r="K61" s="504" t="s">
        <v>78</v>
      </c>
      <c r="L61" s="505"/>
      <c r="M61" s="6"/>
      <c r="N61" s="63"/>
      <c r="O61" s="100"/>
      <c r="P61" s="63"/>
      <c r="Q61" s="63"/>
      <c r="R61" s="63"/>
      <c r="S61" s="63"/>
      <c r="T61" s="63"/>
      <c r="U61" s="63"/>
      <c r="V61" s="63"/>
      <c r="W61" s="63"/>
      <c r="X61" s="57"/>
    </row>
    <row r="62" spans="1:24" s="60" customFormat="1" ht="34.5" customHeight="1" thickBot="1" x14ac:dyDescent="0.25">
      <c r="A62" s="117"/>
      <c r="B62" s="180">
        <v>44898</v>
      </c>
      <c r="C62" s="181" t="s">
        <v>132</v>
      </c>
      <c r="D62" s="182" t="s">
        <v>143</v>
      </c>
      <c r="E62" s="64" t="str">
        <f>('2ª Fase'!E20)</f>
        <v>1ºA</v>
      </c>
      <c r="F62" s="16"/>
      <c r="G62" s="48" t="s">
        <v>0</v>
      </c>
      <c r="H62" s="16"/>
      <c r="I62" s="65" t="str">
        <f>('2ª Fase'!I20)</f>
        <v>2ºB</v>
      </c>
      <c r="J62" s="23" t="str">
        <f>IF(AND(F62="",H62=""),"não jogou",IF(F62=H62,"penaltis",""))</f>
        <v>não jogou</v>
      </c>
      <c r="K62" s="24"/>
      <c r="L62" s="25"/>
      <c r="M62" s="123"/>
      <c r="N62" s="63"/>
      <c r="O62" s="100"/>
      <c r="P62" s="63"/>
      <c r="Q62" s="63"/>
      <c r="R62" s="63"/>
      <c r="S62" s="63"/>
      <c r="T62" s="63"/>
      <c r="U62" s="63"/>
      <c r="V62" s="63"/>
      <c r="W62" s="63"/>
      <c r="X62" s="94"/>
    </row>
    <row r="63" spans="1:24" s="60" customFormat="1" ht="34.5" customHeight="1" thickBot="1" x14ac:dyDescent="0.25">
      <c r="A63" s="118"/>
      <c r="B63" s="183">
        <v>44898</v>
      </c>
      <c r="C63" s="184" t="s">
        <v>136</v>
      </c>
      <c r="D63" s="185" t="s">
        <v>144</v>
      </c>
      <c r="E63" s="66" t="str">
        <f>('2ª Fase'!E21)</f>
        <v>1ºC</v>
      </c>
      <c r="F63" s="17"/>
      <c r="G63" s="55" t="s">
        <v>0</v>
      </c>
      <c r="H63" s="17"/>
      <c r="I63" s="67" t="str">
        <f>('2ª Fase'!I21)</f>
        <v>2ºD</v>
      </c>
      <c r="J63" s="23" t="str">
        <f t="shared" ref="J63:J81" si="0">IF(AND(F63="",H63=""),"não jogou",IF(F63=H63,"penaltis",""))</f>
        <v>não jogou</v>
      </c>
      <c r="K63" s="26"/>
      <c r="L63" s="27"/>
      <c r="M63" s="123"/>
      <c r="N63" s="63"/>
      <c r="O63" s="100"/>
      <c r="P63" s="63"/>
      <c r="Q63" s="63"/>
      <c r="R63" s="63"/>
      <c r="S63" s="63"/>
      <c r="T63" s="63"/>
      <c r="U63" s="63"/>
      <c r="V63" s="63"/>
      <c r="W63" s="63"/>
      <c r="X63" s="94"/>
    </row>
    <row r="64" spans="1:24" s="60" customFormat="1" ht="34.5" customHeight="1" thickBot="1" x14ac:dyDescent="0.25">
      <c r="A64" s="118"/>
      <c r="B64" s="183">
        <v>44899</v>
      </c>
      <c r="C64" s="184" t="s">
        <v>132</v>
      </c>
      <c r="D64" s="185" t="s">
        <v>157</v>
      </c>
      <c r="E64" s="66" t="str">
        <f>('2ª Fase'!E22)</f>
        <v>1ºB</v>
      </c>
      <c r="F64" s="17"/>
      <c r="G64" s="55" t="s">
        <v>0</v>
      </c>
      <c r="H64" s="17"/>
      <c r="I64" s="67" t="str">
        <f>('2ª Fase'!I22)</f>
        <v>2ºA</v>
      </c>
      <c r="J64" s="23" t="str">
        <f t="shared" si="0"/>
        <v>não jogou</v>
      </c>
      <c r="K64" s="28"/>
      <c r="L64" s="29"/>
      <c r="M64" s="123"/>
      <c r="N64" s="63"/>
      <c r="O64" s="100"/>
      <c r="P64" s="63"/>
      <c r="Q64" s="63"/>
      <c r="R64" s="63"/>
      <c r="S64" s="63"/>
      <c r="T64" s="63"/>
      <c r="U64" s="63"/>
      <c r="V64" s="63"/>
      <c r="W64" s="63"/>
      <c r="X64" s="94"/>
    </row>
    <row r="65" spans="1:24" s="60" customFormat="1" ht="34.5" customHeight="1" thickBot="1" x14ac:dyDescent="0.25">
      <c r="A65" s="119"/>
      <c r="B65" s="183">
        <v>44899</v>
      </c>
      <c r="C65" s="184" t="s">
        <v>136</v>
      </c>
      <c r="D65" s="185" t="s">
        <v>156</v>
      </c>
      <c r="E65" s="66" t="str">
        <f>('2ª Fase'!E23)</f>
        <v>1ºD</v>
      </c>
      <c r="F65" s="17"/>
      <c r="G65" s="55" t="s">
        <v>0</v>
      </c>
      <c r="H65" s="17"/>
      <c r="I65" s="67" t="str">
        <f>('2ª Fase'!I23)</f>
        <v>2ºC</v>
      </c>
      <c r="J65" s="23" t="str">
        <f t="shared" si="0"/>
        <v>não jogou</v>
      </c>
      <c r="K65" s="28"/>
      <c r="L65" s="29"/>
      <c r="M65" s="123"/>
      <c r="N65" s="63"/>
      <c r="O65" s="100"/>
      <c r="P65" s="63"/>
      <c r="Q65" s="63"/>
      <c r="R65" s="63"/>
      <c r="S65" s="63"/>
      <c r="T65" s="63"/>
      <c r="U65" s="63"/>
      <c r="V65" s="63"/>
      <c r="W65" s="63"/>
      <c r="X65" s="94"/>
    </row>
    <row r="66" spans="1:24" s="61" customFormat="1" ht="34.5" customHeight="1" thickBot="1" x14ac:dyDescent="0.25">
      <c r="A66" s="118"/>
      <c r="B66" s="183">
        <v>44900</v>
      </c>
      <c r="C66" s="184" t="s">
        <v>132</v>
      </c>
      <c r="D66" s="185" t="s">
        <v>149</v>
      </c>
      <c r="E66" s="66" t="str">
        <f>('2ª Fase'!E24)</f>
        <v>1ºE</v>
      </c>
      <c r="F66" s="17"/>
      <c r="G66" s="55" t="s">
        <v>0</v>
      </c>
      <c r="H66" s="17"/>
      <c r="I66" s="67" t="str">
        <f>('2ª Fase'!I24)</f>
        <v>2ºF</v>
      </c>
      <c r="J66" s="23" t="str">
        <f t="shared" si="0"/>
        <v>não jogou</v>
      </c>
      <c r="K66" s="26"/>
      <c r="L66" s="27"/>
      <c r="M66" s="124"/>
      <c r="N66" s="63"/>
      <c r="O66" s="100"/>
      <c r="P66" s="63"/>
      <c r="Q66" s="63"/>
      <c r="R66" s="63"/>
      <c r="S66" s="63"/>
      <c r="T66" s="63"/>
      <c r="U66" s="63"/>
      <c r="V66" s="63"/>
      <c r="W66" s="63"/>
      <c r="X66" s="94"/>
    </row>
    <row r="67" spans="1:24" s="60" customFormat="1" ht="34.5" customHeight="1" thickBot="1" x14ac:dyDescent="0.25">
      <c r="A67" s="118"/>
      <c r="B67" s="183">
        <v>44900</v>
      </c>
      <c r="C67" s="184" t="s">
        <v>136</v>
      </c>
      <c r="D67" s="185" t="s">
        <v>147</v>
      </c>
      <c r="E67" s="66" t="str">
        <f>('2ª Fase'!E25)</f>
        <v>1ºG</v>
      </c>
      <c r="F67" s="17"/>
      <c r="G67" s="55" t="s">
        <v>0</v>
      </c>
      <c r="H67" s="17"/>
      <c r="I67" s="67" t="str">
        <f>('2ª Fase'!I25)</f>
        <v>2ºH</v>
      </c>
      <c r="J67" s="23" t="str">
        <f t="shared" si="0"/>
        <v>não jogou</v>
      </c>
      <c r="K67" s="30"/>
      <c r="L67" s="31"/>
      <c r="M67" s="123"/>
      <c r="N67" s="63"/>
      <c r="O67" s="100"/>
      <c r="P67" s="63"/>
      <c r="Q67" s="63"/>
      <c r="R67" s="63"/>
      <c r="S67" s="63"/>
      <c r="T67" s="63"/>
      <c r="U67" s="63"/>
      <c r="V67" s="63"/>
      <c r="W67" s="63"/>
      <c r="X67" s="94"/>
    </row>
    <row r="68" spans="1:24" s="60" customFormat="1" ht="34.5" customHeight="1" thickBot="1" x14ac:dyDescent="0.25">
      <c r="A68" s="118"/>
      <c r="B68" s="183">
        <v>44901</v>
      </c>
      <c r="C68" s="184" t="s">
        <v>132</v>
      </c>
      <c r="D68" s="185" t="s">
        <v>148</v>
      </c>
      <c r="E68" s="66" t="str">
        <f>('2ª Fase'!E26)</f>
        <v>1ºF</v>
      </c>
      <c r="F68" s="17"/>
      <c r="G68" s="55" t="s">
        <v>0</v>
      </c>
      <c r="H68" s="17"/>
      <c r="I68" s="67" t="str">
        <f>('2ª Fase'!I26)</f>
        <v>2ºE</v>
      </c>
      <c r="J68" s="23" t="str">
        <f t="shared" si="0"/>
        <v>não jogou</v>
      </c>
      <c r="K68" s="28"/>
      <c r="L68" s="29"/>
      <c r="M68" s="123"/>
      <c r="N68" s="63"/>
      <c r="O68" s="100"/>
      <c r="P68" s="63"/>
      <c r="Q68" s="63"/>
      <c r="R68" s="63"/>
      <c r="S68" s="63"/>
      <c r="T68" s="63"/>
      <c r="U68" s="63"/>
      <c r="V68" s="63"/>
      <c r="W68" s="63"/>
      <c r="X68" s="94"/>
    </row>
    <row r="69" spans="1:24" s="60" customFormat="1" ht="34.5" customHeight="1" thickBot="1" x14ac:dyDescent="0.25">
      <c r="A69" s="118"/>
      <c r="B69" s="186">
        <v>44901</v>
      </c>
      <c r="C69" s="187" t="s">
        <v>136</v>
      </c>
      <c r="D69" s="188" t="s">
        <v>146</v>
      </c>
      <c r="E69" s="68" t="str">
        <f>('2ª Fase'!E27)</f>
        <v>1ºH</v>
      </c>
      <c r="F69" s="18"/>
      <c r="G69" s="56" t="s">
        <v>0</v>
      </c>
      <c r="H69" s="18"/>
      <c r="I69" s="69" t="str">
        <f>('2ª Fase'!I27)</f>
        <v>2ºG</v>
      </c>
      <c r="J69" s="23" t="str">
        <f t="shared" si="0"/>
        <v>não jogou</v>
      </c>
      <c r="K69" s="32"/>
      <c r="L69" s="33"/>
      <c r="M69" s="123"/>
      <c r="N69" s="63"/>
      <c r="O69" s="100"/>
      <c r="P69" s="63"/>
      <c r="Q69" s="63"/>
      <c r="R69" s="63"/>
      <c r="S69" s="63"/>
      <c r="T69" s="63"/>
      <c r="U69" s="63"/>
      <c r="V69" s="63"/>
      <c r="W69" s="63"/>
      <c r="X69" s="94"/>
    </row>
    <row r="70" spans="1:24" s="61" customFormat="1" ht="20.100000000000001" customHeight="1" thickBot="1" x14ac:dyDescent="0.25">
      <c r="A70" s="120"/>
      <c r="B70" s="150" t="s">
        <v>95</v>
      </c>
      <c r="C70" s="151" t="s">
        <v>74</v>
      </c>
      <c r="D70" s="151" t="s">
        <v>75</v>
      </c>
      <c r="E70" s="152"/>
      <c r="F70" s="153"/>
      <c r="G70" s="154" t="s">
        <v>79</v>
      </c>
      <c r="H70" s="153"/>
      <c r="I70" s="155"/>
      <c r="J70" s="156"/>
      <c r="K70" s="523" t="s">
        <v>78</v>
      </c>
      <c r="L70" s="524"/>
      <c r="M70" s="45"/>
      <c r="N70" s="63"/>
      <c r="O70" s="100"/>
      <c r="P70" s="63"/>
      <c r="Q70" s="63"/>
      <c r="R70" s="63"/>
      <c r="S70" s="63"/>
      <c r="T70" s="63"/>
      <c r="U70" s="63"/>
      <c r="V70" s="63"/>
      <c r="W70" s="63"/>
      <c r="X70" s="94"/>
    </row>
    <row r="71" spans="1:24" s="60" customFormat="1" ht="33.950000000000003" customHeight="1" thickBot="1" x14ac:dyDescent="0.25">
      <c r="A71" s="118"/>
      <c r="B71" s="180">
        <v>44904</v>
      </c>
      <c r="C71" s="181" t="s">
        <v>132</v>
      </c>
      <c r="D71" s="182" t="s">
        <v>148</v>
      </c>
      <c r="E71" s="64" t="str">
        <f>('2ª Fase'!E29)</f>
        <v>venc.49</v>
      </c>
      <c r="F71" s="16"/>
      <c r="G71" s="48" t="s">
        <v>0</v>
      </c>
      <c r="H71" s="16"/>
      <c r="I71" s="65" t="str">
        <f>('2ª Fase'!I29)</f>
        <v>venc.50</v>
      </c>
      <c r="J71" s="23" t="str">
        <f t="shared" si="0"/>
        <v>não jogou</v>
      </c>
      <c r="K71" s="34"/>
      <c r="L71" s="35"/>
      <c r="M71" s="124"/>
      <c r="N71" s="63"/>
      <c r="O71" s="100"/>
      <c r="P71" s="63"/>
      <c r="Q71" s="63"/>
      <c r="R71" s="63"/>
      <c r="S71" s="63"/>
      <c r="T71" s="63"/>
      <c r="U71" s="63"/>
      <c r="V71" s="63"/>
      <c r="W71" s="63"/>
      <c r="X71" s="94"/>
    </row>
    <row r="72" spans="1:24" s="61" customFormat="1" ht="33.950000000000003" customHeight="1" thickBot="1" x14ac:dyDescent="0.25">
      <c r="A72" s="118"/>
      <c r="B72" s="183">
        <v>44904</v>
      </c>
      <c r="C72" s="184" t="s">
        <v>136</v>
      </c>
      <c r="D72" s="185" t="s">
        <v>146</v>
      </c>
      <c r="E72" s="66" t="str">
        <f>('2ª Fase'!E30)</f>
        <v>venc.53</v>
      </c>
      <c r="F72" s="17"/>
      <c r="G72" s="55" t="s">
        <v>0</v>
      </c>
      <c r="H72" s="17"/>
      <c r="I72" s="67" t="str">
        <f>('2ª Fase'!I30)</f>
        <v>venc.54</v>
      </c>
      <c r="J72" s="23" t="str">
        <f t="shared" si="0"/>
        <v>não jogou</v>
      </c>
      <c r="K72" s="26"/>
      <c r="L72" s="27"/>
      <c r="M72" s="124"/>
      <c r="N72" s="63"/>
      <c r="O72" s="100"/>
      <c r="P72" s="63"/>
      <c r="Q72" s="63"/>
      <c r="R72" s="63"/>
      <c r="S72" s="63"/>
      <c r="T72" s="63"/>
      <c r="U72" s="63"/>
      <c r="V72" s="63"/>
      <c r="W72" s="63"/>
      <c r="X72" s="94"/>
    </row>
    <row r="73" spans="1:24" s="61" customFormat="1" ht="33.950000000000003" customHeight="1" thickBot="1" x14ac:dyDescent="0.25">
      <c r="A73" s="118"/>
      <c r="B73" s="183">
        <v>44905</v>
      </c>
      <c r="C73" s="184" t="s">
        <v>132</v>
      </c>
      <c r="D73" s="185" t="s">
        <v>157</v>
      </c>
      <c r="E73" s="66" t="str">
        <f>('2ª Fase'!E31)</f>
        <v>venc.51</v>
      </c>
      <c r="F73" s="17"/>
      <c r="G73" s="55" t="s">
        <v>0</v>
      </c>
      <c r="H73" s="17"/>
      <c r="I73" s="67" t="str">
        <f>('2ª Fase'!I31)</f>
        <v>venc.52</v>
      </c>
      <c r="J73" s="23" t="str">
        <f t="shared" si="0"/>
        <v>não jogou</v>
      </c>
      <c r="K73" s="34"/>
      <c r="L73" s="35"/>
      <c r="M73" s="124"/>
      <c r="N73" s="63"/>
      <c r="O73" s="100"/>
      <c r="P73" s="63"/>
      <c r="Q73" s="63"/>
      <c r="R73" s="63"/>
      <c r="S73" s="63"/>
      <c r="T73" s="63"/>
      <c r="U73" s="63"/>
      <c r="V73" s="63"/>
      <c r="W73" s="63"/>
      <c r="X73" s="94"/>
    </row>
    <row r="74" spans="1:24" s="60" customFormat="1" ht="33.950000000000003" customHeight="1" thickBot="1" x14ac:dyDescent="0.25">
      <c r="A74" s="118"/>
      <c r="B74" s="186">
        <v>44905</v>
      </c>
      <c r="C74" s="187" t="s">
        <v>136</v>
      </c>
      <c r="D74" s="188" t="s">
        <v>156</v>
      </c>
      <c r="E74" s="68" t="str">
        <f>('2ª Fase'!E32)</f>
        <v>venc.55</v>
      </c>
      <c r="F74" s="18"/>
      <c r="G74" s="56" t="s">
        <v>0</v>
      </c>
      <c r="H74" s="18"/>
      <c r="I74" s="69" t="str">
        <f>('2ª Fase'!I32)</f>
        <v>venc.56</v>
      </c>
      <c r="J74" s="23" t="str">
        <f t="shared" si="0"/>
        <v>não jogou</v>
      </c>
      <c r="K74" s="36"/>
      <c r="L74" s="37"/>
      <c r="M74" s="123"/>
      <c r="N74" s="63"/>
      <c r="O74" s="100"/>
      <c r="P74" s="63"/>
      <c r="Q74" s="63"/>
      <c r="R74" s="63"/>
      <c r="S74" s="63"/>
      <c r="T74" s="63"/>
      <c r="U74" s="63"/>
      <c r="V74" s="63"/>
      <c r="W74" s="63"/>
      <c r="X74" s="94"/>
    </row>
    <row r="75" spans="1:24" s="60" customFormat="1" ht="20.100000000000001" customHeight="1" thickBot="1" x14ac:dyDescent="0.25">
      <c r="A75" s="120"/>
      <c r="B75" s="150" t="s">
        <v>95</v>
      </c>
      <c r="C75" s="151" t="s">
        <v>74</v>
      </c>
      <c r="D75" s="151" t="s">
        <v>75</v>
      </c>
      <c r="E75" s="152"/>
      <c r="F75" s="153"/>
      <c r="G75" s="154" t="s">
        <v>80</v>
      </c>
      <c r="H75" s="153"/>
      <c r="I75" s="155"/>
      <c r="J75" s="157"/>
      <c r="K75" s="520" t="s">
        <v>78</v>
      </c>
      <c r="L75" s="522"/>
      <c r="M75" s="38"/>
      <c r="N75" s="63"/>
      <c r="O75" s="100"/>
      <c r="P75" s="63"/>
      <c r="Q75" s="63"/>
      <c r="R75" s="63"/>
      <c r="S75" s="63"/>
      <c r="T75" s="63"/>
      <c r="U75" s="63"/>
      <c r="V75" s="63"/>
      <c r="W75" s="63"/>
      <c r="X75" s="94"/>
    </row>
    <row r="76" spans="1:24" s="60" customFormat="1" ht="34.5" customHeight="1" thickBot="1" x14ac:dyDescent="0.25">
      <c r="A76" s="118"/>
      <c r="B76" s="180">
        <v>44908</v>
      </c>
      <c r="C76" s="181" t="s">
        <v>136</v>
      </c>
      <c r="D76" s="182" t="s">
        <v>146</v>
      </c>
      <c r="E76" s="64" t="str">
        <f>('2ª Fase'!E34)</f>
        <v>venc.57</v>
      </c>
      <c r="F76" s="16"/>
      <c r="G76" s="48" t="s">
        <v>0</v>
      </c>
      <c r="H76" s="16"/>
      <c r="I76" s="65" t="str">
        <f>('2ª Fase'!I34)</f>
        <v>venc.58</v>
      </c>
      <c r="J76" s="23" t="str">
        <f t="shared" si="0"/>
        <v>não jogou</v>
      </c>
      <c r="K76" s="24"/>
      <c r="L76" s="25"/>
      <c r="M76" s="123"/>
      <c r="N76" s="63"/>
      <c r="O76" s="100"/>
      <c r="P76" s="63"/>
      <c r="Q76" s="63"/>
      <c r="R76" s="63"/>
      <c r="S76" s="63"/>
      <c r="T76" s="63"/>
      <c r="U76" s="63"/>
      <c r="V76" s="63"/>
      <c r="W76" s="63"/>
      <c r="X76" s="94"/>
    </row>
    <row r="77" spans="1:24" s="60" customFormat="1" ht="34.5" customHeight="1" thickBot="1" x14ac:dyDescent="0.25">
      <c r="A77" s="118"/>
      <c r="B77" s="186">
        <v>44909</v>
      </c>
      <c r="C77" s="187" t="s">
        <v>136</v>
      </c>
      <c r="D77" s="188" t="s">
        <v>156</v>
      </c>
      <c r="E77" s="68" t="str">
        <f>('2ª Fase'!E35)</f>
        <v>venc.59</v>
      </c>
      <c r="F77" s="18"/>
      <c r="G77" s="56" t="s">
        <v>0</v>
      </c>
      <c r="H77" s="18"/>
      <c r="I77" s="69" t="str">
        <f>('2ª Fase'!I35)</f>
        <v>venc.60</v>
      </c>
      <c r="J77" s="23" t="str">
        <f t="shared" si="0"/>
        <v>não jogou</v>
      </c>
      <c r="K77" s="36"/>
      <c r="L77" s="37"/>
      <c r="M77" s="123"/>
      <c r="N77" s="63"/>
      <c r="O77" s="100"/>
      <c r="P77" s="63"/>
      <c r="Q77" s="63"/>
      <c r="R77" s="63"/>
      <c r="S77" s="63"/>
      <c r="T77" s="63"/>
      <c r="U77" s="63"/>
      <c r="V77" s="63"/>
      <c r="W77" s="63"/>
      <c r="X77" s="94"/>
    </row>
    <row r="78" spans="1:24" s="60" customFormat="1" ht="20.100000000000001" customHeight="1" thickBot="1" x14ac:dyDescent="0.25">
      <c r="A78" s="121"/>
      <c r="B78" s="150" t="s">
        <v>95</v>
      </c>
      <c r="C78" s="158" t="s">
        <v>74</v>
      </c>
      <c r="D78" s="158" t="s">
        <v>75</v>
      </c>
      <c r="E78" s="153"/>
      <c r="F78" s="153"/>
      <c r="G78" s="154" t="s">
        <v>81</v>
      </c>
      <c r="H78" s="153"/>
      <c r="I78" s="155"/>
      <c r="J78" s="157"/>
      <c r="K78" s="520" t="s">
        <v>78</v>
      </c>
      <c r="L78" s="522"/>
      <c r="M78" s="38"/>
      <c r="N78" s="63"/>
      <c r="O78" s="100"/>
      <c r="P78" s="63"/>
      <c r="Q78" s="63"/>
      <c r="R78" s="63"/>
      <c r="S78" s="63"/>
      <c r="T78" s="63"/>
      <c r="U78" s="63"/>
      <c r="V78" s="63"/>
      <c r="W78" s="63"/>
      <c r="X78" s="94"/>
    </row>
    <row r="79" spans="1:24" s="60" customFormat="1" ht="34.5" customHeight="1" thickBot="1" x14ac:dyDescent="0.25">
      <c r="A79" s="117"/>
      <c r="B79" s="189">
        <v>44912</v>
      </c>
      <c r="C79" s="190" t="s">
        <v>132</v>
      </c>
      <c r="D79" s="191" t="s">
        <v>143</v>
      </c>
      <c r="E79" s="70" t="str">
        <f>('2ª Fase'!E37)</f>
        <v>perd.61</v>
      </c>
      <c r="F79" s="46"/>
      <c r="G79" s="47" t="s">
        <v>0</v>
      </c>
      <c r="H79" s="46"/>
      <c r="I79" s="71" t="str">
        <f>('2ª Fase'!I37)</f>
        <v>perd.62</v>
      </c>
      <c r="J79" s="23" t="str">
        <f t="shared" si="0"/>
        <v>não jogou</v>
      </c>
      <c r="K79" s="39"/>
      <c r="L79" s="22"/>
      <c r="M79" s="123"/>
      <c r="N79" s="63"/>
      <c r="O79" s="100"/>
      <c r="P79" s="63"/>
      <c r="Q79" s="63"/>
      <c r="R79" s="63"/>
      <c r="S79" s="63"/>
      <c r="T79" s="63"/>
      <c r="U79" s="63"/>
      <c r="V79" s="63"/>
      <c r="W79" s="63"/>
      <c r="X79" s="94"/>
    </row>
    <row r="80" spans="1:24" s="60" customFormat="1" ht="20.100000000000001" customHeight="1" thickBot="1" x14ac:dyDescent="0.25">
      <c r="A80" s="121"/>
      <c r="B80" s="159" t="s">
        <v>95</v>
      </c>
      <c r="C80" s="160" t="s">
        <v>74</v>
      </c>
      <c r="D80" s="160" t="s">
        <v>75</v>
      </c>
      <c r="E80" s="152"/>
      <c r="F80" s="153"/>
      <c r="G80" s="154" t="s">
        <v>82</v>
      </c>
      <c r="H80" s="153"/>
      <c r="I80" s="155"/>
      <c r="J80" s="157"/>
      <c r="K80" s="520" t="s">
        <v>78</v>
      </c>
      <c r="L80" s="521"/>
      <c r="M80" s="38"/>
      <c r="N80" s="63"/>
      <c r="O80" s="100"/>
      <c r="P80" s="63"/>
      <c r="Q80" s="63"/>
      <c r="R80" s="63"/>
      <c r="S80" s="63"/>
      <c r="T80" s="63"/>
      <c r="U80" s="63"/>
      <c r="V80" s="63"/>
      <c r="W80" s="63"/>
      <c r="X80" s="94"/>
    </row>
    <row r="81" spans="1:24" s="62" customFormat="1" ht="34.5" customHeight="1" thickBot="1" x14ac:dyDescent="0.25">
      <c r="A81" s="122"/>
      <c r="B81" s="189">
        <v>44913</v>
      </c>
      <c r="C81" s="190" t="s">
        <v>132</v>
      </c>
      <c r="D81" s="191" t="s">
        <v>146</v>
      </c>
      <c r="E81" s="72" t="str">
        <f>('2ª Fase'!E39)</f>
        <v>venc.61</v>
      </c>
      <c r="F81" s="46"/>
      <c r="G81" s="49" t="s">
        <v>0</v>
      </c>
      <c r="H81" s="46"/>
      <c r="I81" s="73" t="str">
        <f>('2ª Fase'!I39)</f>
        <v>venc.62</v>
      </c>
      <c r="J81" s="23" t="str">
        <f t="shared" si="0"/>
        <v>não jogou</v>
      </c>
      <c r="K81" s="21"/>
      <c r="L81" s="22"/>
      <c r="M81" s="123"/>
      <c r="N81" s="63"/>
      <c r="O81" s="100"/>
      <c r="P81" s="63"/>
      <c r="Q81" s="63"/>
      <c r="R81" s="63"/>
      <c r="S81" s="63"/>
      <c r="T81" s="63"/>
      <c r="U81" s="63"/>
      <c r="V81" s="63"/>
      <c r="W81" s="63"/>
      <c r="X81" s="63"/>
    </row>
    <row r="82" spans="1:24" s="58" customFormat="1" x14ac:dyDescent="0.2">
      <c r="A82" s="5"/>
      <c r="B82" s="2"/>
      <c r="C82" s="2"/>
      <c r="D82" s="2"/>
      <c r="E82" s="3"/>
      <c r="F82" s="40"/>
      <c r="G82" s="1"/>
      <c r="H82" s="40"/>
      <c r="I82" s="4"/>
      <c r="J82" s="50"/>
      <c r="K82" s="1"/>
      <c r="L82" s="1"/>
      <c r="M82" s="1"/>
      <c r="N82" s="63"/>
      <c r="O82" s="100"/>
      <c r="P82" s="63"/>
      <c r="Q82" s="63"/>
      <c r="R82" s="63"/>
      <c r="S82" s="63"/>
      <c r="T82" s="63"/>
      <c r="U82" s="63"/>
      <c r="V82" s="63"/>
      <c r="W82" s="63"/>
      <c r="X82" s="57"/>
    </row>
    <row r="83" spans="1:24" ht="16.5" thickBot="1" x14ac:dyDescent="0.25">
      <c r="B83" s="2"/>
      <c r="C83" s="2"/>
      <c r="D83" s="2"/>
      <c r="E83" s="3"/>
      <c r="F83" s="40"/>
      <c r="G83" s="1"/>
      <c r="H83" s="40"/>
      <c r="I83" s="4"/>
      <c r="J83" s="50"/>
      <c r="K83" s="1"/>
      <c r="L83" s="1"/>
    </row>
    <row r="84" spans="1:24" ht="36.75" customHeight="1" thickBot="1" x14ac:dyDescent="0.25">
      <c r="B84" s="2"/>
      <c r="C84" s="2"/>
      <c r="D84" s="125" t="s">
        <v>83</v>
      </c>
      <c r="E84" s="511" t="str">
        <f>'2ª Fase'!E40:I40</f>
        <v/>
      </c>
      <c r="F84" s="511"/>
      <c r="G84" s="511"/>
      <c r="H84" s="511"/>
      <c r="I84" s="512"/>
      <c r="J84" s="50"/>
      <c r="K84" s="1"/>
      <c r="L84" s="1"/>
    </row>
    <row r="85" spans="1:24" ht="15" customHeight="1" x14ac:dyDescent="0.2">
      <c r="B85" s="2"/>
      <c r="C85" s="2"/>
      <c r="D85" s="126" t="s">
        <v>84</v>
      </c>
      <c r="E85" s="513" t="str">
        <f>'2ª Fase'!E41:I41</f>
        <v/>
      </c>
      <c r="F85" s="513"/>
      <c r="G85" s="513"/>
      <c r="H85" s="513"/>
      <c r="I85" s="514"/>
      <c r="J85" s="50"/>
      <c r="K85" s="1"/>
      <c r="L85" s="1"/>
    </row>
    <row r="86" spans="1:24" ht="15" customHeight="1" x14ac:dyDescent="0.2">
      <c r="B86" s="2"/>
      <c r="C86" s="2"/>
      <c r="D86" s="127" t="s">
        <v>102</v>
      </c>
      <c r="E86" s="515" t="str">
        <f>'2ª Fase'!E42:I42</f>
        <v/>
      </c>
      <c r="F86" s="515"/>
      <c r="G86" s="515"/>
      <c r="H86" s="515"/>
      <c r="I86" s="516"/>
      <c r="J86" s="50"/>
      <c r="K86" s="1"/>
      <c r="L86" s="1"/>
    </row>
    <row r="87" spans="1:24" ht="15" customHeight="1" thickBot="1" x14ac:dyDescent="0.25">
      <c r="B87" s="2"/>
      <c r="C87" s="2"/>
      <c r="D87" s="128" t="s">
        <v>103</v>
      </c>
      <c r="E87" s="517" t="str">
        <f>'2ª Fase'!E43:I43</f>
        <v/>
      </c>
      <c r="F87" s="517"/>
      <c r="G87" s="517"/>
      <c r="H87" s="517"/>
      <c r="I87" s="518"/>
      <c r="J87" s="50"/>
      <c r="K87" s="1"/>
      <c r="L87" s="1"/>
    </row>
    <row r="88" spans="1:24" ht="15" hidden="1" customHeight="1" thickBot="1" x14ac:dyDescent="0.25">
      <c r="B88" s="2"/>
      <c r="C88" s="2"/>
      <c r="D88" s="192"/>
      <c r="E88" s="509"/>
      <c r="F88" s="509"/>
      <c r="G88" s="509"/>
      <c r="H88" s="509"/>
      <c r="I88" s="510"/>
      <c r="J88" s="50"/>
      <c r="K88" s="129"/>
      <c r="L88" s="1"/>
    </row>
    <row r="89" spans="1:24" x14ac:dyDescent="0.2">
      <c r="B89" s="2"/>
      <c r="C89" s="2"/>
      <c r="D89" s="2"/>
      <c r="E89" s="3"/>
      <c r="F89" s="40"/>
      <c r="G89" s="1"/>
      <c r="H89" s="40"/>
      <c r="I89" s="4"/>
      <c r="J89" s="50"/>
      <c r="K89" s="1"/>
      <c r="L89" s="1"/>
    </row>
    <row r="125" spans="1:24" s="9" customFormat="1" hidden="1" x14ac:dyDescent="0.2">
      <c r="A125" s="7"/>
      <c r="B125" s="13"/>
      <c r="C125" s="13"/>
      <c r="D125" s="13"/>
      <c r="E125" s="14"/>
      <c r="F125" s="43"/>
      <c r="H125" s="43"/>
      <c r="I125" s="15"/>
      <c r="J125" s="54"/>
      <c r="M125" s="8"/>
      <c r="N125" s="110"/>
      <c r="O125" s="114"/>
      <c r="P125" s="110"/>
      <c r="Q125" s="110"/>
      <c r="R125" s="110"/>
      <c r="S125" s="110"/>
      <c r="T125" s="110"/>
      <c r="U125" s="110"/>
      <c r="V125" s="110"/>
      <c r="W125" s="110"/>
      <c r="X125" s="8"/>
    </row>
  </sheetData>
  <sheetProtection algorithmName="SHA-512" hashValue="RC3MF5WEKxDbC5Fk8fxNYZwjmZgTgDJlaiWHrTJwPXikozSvZqwbb2q0Em7TqeNi7VehfmjIIJanWQ5sFCOW4Q==" saltValue="cpKWMzw9IaLIIMf1KVsC/w==" spinCount="100000" sheet="1" objects="1" scenarios="1"/>
  <mergeCells count="40">
    <mergeCell ref="F2:I2"/>
    <mergeCell ref="F3:I3"/>
    <mergeCell ref="F4:I4"/>
    <mergeCell ref="F5:I5"/>
    <mergeCell ref="F6:I6"/>
    <mergeCell ref="F7:I7"/>
    <mergeCell ref="K80:L80"/>
    <mergeCell ref="K75:L75"/>
    <mergeCell ref="K78:L78"/>
    <mergeCell ref="K70:L70"/>
    <mergeCell ref="E88:I88"/>
    <mergeCell ref="E84:I84"/>
    <mergeCell ref="E85:I85"/>
    <mergeCell ref="E86:I86"/>
    <mergeCell ref="E87:I87"/>
    <mergeCell ref="N41:O41"/>
    <mergeCell ref="N47:O47"/>
    <mergeCell ref="N53:O53"/>
    <mergeCell ref="A53:A58"/>
    <mergeCell ref="K61:L61"/>
    <mergeCell ref="A47:A52"/>
    <mergeCell ref="A41:A46"/>
    <mergeCell ref="B60:L60"/>
    <mergeCell ref="N11:O11"/>
    <mergeCell ref="N17:O17"/>
    <mergeCell ref="N23:O23"/>
    <mergeCell ref="N29:O29"/>
    <mergeCell ref="N35:O35"/>
    <mergeCell ref="A35:A40"/>
    <mergeCell ref="A29:A34"/>
    <mergeCell ref="A23:A28"/>
    <mergeCell ref="E9:I10"/>
    <mergeCell ref="K10:L10"/>
    <mergeCell ref="A11:A16"/>
    <mergeCell ref="K11:L11"/>
    <mergeCell ref="A17:A22"/>
    <mergeCell ref="A9:A10"/>
    <mergeCell ref="B9:B10"/>
    <mergeCell ref="C9:C10"/>
    <mergeCell ref="D9:D10"/>
  </mergeCells>
  <phoneticPr fontId="37" type="noConversion"/>
  <conditionalFormatting sqref="A76:A77 A71:A74 A62:A64 A66:A69 A81 A79">
    <cfRule type="cellIs" dxfId="918" priority="80" stopIfTrue="1" operator="equal">
      <formula>#REF!</formula>
    </cfRule>
  </conditionalFormatting>
  <conditionalFormatting sqref="L62:M62">
    <cfRule type="expression" dxfId="917" priority="79">
      <formula>$G$22="penaltis"</formula>
    </cfRule>
  </conditionalFormatting>
  <conditionalFormatting sqref="K63:M63">
    <cfRule type="expression" dxfId="916" priority="78">
      <formula>$G$23="penaltis"</formula>
    </cfRule>
  </conditionalFormatting>
  <conditionalFormatting sqref="K64:M64">
    <cfRule type="expression" dxfId="915" priority="77">
      <formula>$G$24="penaltis"</formula>
    </cfRule>
  </conditionalFormatting>
  <conditionalFormatting sqref="K65:M65">
    <cfRule type="expression" dxfId="914" priority="76">
      <formula>$G$25="penaltis"</formula>
    </cfRule>
  </conditionalFormatting>
  <conditionalFormatting sqref="K66:M66">
    <cfRule type="expression" dxfId="913" priority="75">
      <formula>$G$26="penaltis"</formula>
    </cfRule>
  </conditionalFormatting>
  <conditionalFormatting sqref="K67:M67">
    <cfRule type="expression" dxfId="912" priority="74">
      <formula>$G$27="penaltis"</formula>
    </cfRule>
  </conditionalFormatting>
  <conditionalFormatting sqref="K68:M68">
    <cfRule type="expression" dxfId="911" priority="73">
      <formula>$G$28="penaltis"</formula>
    </cfRule>
  </conditionalFormatting>
  <conditionalFormatting sqref="K69:M69">
    <cfRule type="expression" dxfId="910" priority="72">
      <formula>$G$29="penaltis"</formula>
    </cfRule>
  </conditionalFormatting>
  <conditionalFormatting sqref="M71">
    <cfRule type="expression" dxfId="909" priority="71">
      <formula>$G$31="penaltis"</formula>
    </cfRule>
  </conditionalFormatting>
  <conditionalFormatting sqref="M72">
    <cfRule type="expression" dxfId="908" priority="70" stopIfTrue="1">
      <formula>$G$32="penaltis"</formula>
    </cfRule>
  </conditionalFormatting>
  <conditionalFormatting sqref="M73">
    <cfRule type="expression" dxfId="907" priority="69" stopIfTrue="1">
      <formula>$G$33="penaltis"</formula>
    </cfRule>
  </conditionalFormatting>
  <conditionalFormatting sqref="M74">
    <cfRule type="expression" dxfId="906" priority="68" stopIfTrue="1">
      <formula>$G$34="penaltis"</formula>
    </cfRule>
  </conditionalFormatting>
  <conditionalFormatting sqref="M76">
    <cfRule type="expression" dxfId="905" priority="67" stopIfTrue="1">
      <formula>$G$36="penaltis"</formula>
    </cfRule>
  </conditionalFormatting>
  <conditionalFormatting sqref="M77">
    <cfRule type="expression" dxfId="904" priority="66" stopIfTrue="1">
      <formula>$G$37="penaltis"</formula>
    </cfRule>
  </conditionalFormatting>
  <conditionalFormatting sqref="M79">
    <cfRule type="expression" dxfId="903" priority="65" stopIfTrue="1">
      <formula>$G$39="penaltis"</formula>
    </cfRule>
  </conditionalFormatting>
  <conditionalFormatting sqref="M81">
    <cfRule type="expression" dxfId="902" priority="64" stopIfTrue="1">
      <formula>$G$41="penaltis"</formula>
    </cfRule>
  </conditionalFormatting>
  <conditionalFormatting sqref="K62:L62">
    <cfRule type="expression" dxfId="901" priority="34" stopIfTrue="1">
      <formula>$J$62="penaltis"</formula>
    </cfRule>
  </conditionalFormatting>
  <conditionalFormatting sqref="K63:L63">
    <cfRule type="expression" dxfId="900" priority="33" stopIfTrue="1">
      <formula>$J$63="penaltis"</formula>
    </cfRule>
  </conditionalFormatting>
  <conditionalFormatting sqref="K64:L64">
    <cfRule type="expression" dxfId="899" priority="32" stopIfTrue="1">
      <formula>$J$64="penaltis"</formula>
    </cfRule>
  </conditionalFormatting>
  <conditionalFormatting sqref="K65:L65">
    <cfRule type="expression" dxfId="898" priority="31" stopIfTrue="1">
      <formula>$J$65="penaltis"</formula>
    </cfRule>
  </conditionalFormatting>
  <conditionalFormatting sqref="K66:L66">
    <cfRule type="expression" dxfId="897" priority="30" stopIfTrue="1">
      <formula>$J$66="penaltis"</formula>
    </cfRule>
  </conditionalFormatting>
  <conditionalFormatting sqref="K67:L67">
    <cfRule type="expression" dxfId="896" priority="29" stopIfTrue="1">
      <formula>$J$67="penaltis"</formula>
    </cfRule>
  </conditionalFormatting>
  <conditionalFormatting sqref="K68:L68">
    <cfRule type="expression" dxfId="895" priority="28" stopIfTrue="1">
      <formula>$J$68="penaltis"</formula>
    </cfRule>
  </conditionalFormatting>
  <conditionalFormatting sqref="K69:L69">
    <cfRule type="expression" dxfId="894" priority="27" stopIfTrue="1">
      <formula>$J$69="penaltis"</formula>
    </cfRule>
  </conditionalFormatting>
  <conditionalFormatting sqref="K71:L71">
    <cfRule type="expression" dxfId="893" priority="25">
      <formula>$J$71="penaltis"</formula>
    </cfRule>
  </conditionalFormatting>
  <conditionalFormatting sqref="K72:L72">
    <cfRule type="expression" dxfId="892" priority="24">
      <formula>$J$72="penaltis"</formula>
    </cfRule>
  </conditionalFormatting>
  <conditionalFormatting sqref="K73:L73">
    <cfRule type="expression" dxfId="891" priority="23">
      <formula>$J$73="penaltis"</formula>
    </cfRule>
  </conditionalFormatting>
  <conditionalFormatting sqref="K74:L74">
    <cfRule type="expression" dxfId="890" priority="22">
      <formula>$J$74="penaltis"</formula>
    </cfRule>
  </conditionalFormatting>
  <conditionalFormatting sqref="K76:L76">
    <cfRule type="expression" dxfId="889" priority="21">
      <formula>$J$76="penaltis"</formula>
    </cfRule>
  </conditionalFormatting>
  <conditionalFormatting sqref="K77:L77">
    <cfRule type="expression" dxfId="888" priority="20">
      <formula>$J$77="penaltis"</formula>
    </cfRule>
  </conditionalFormatting>
  <conditionalFormatting sqref="K79:L79">
    <cfRule type="expression" dxfId="887" priority="19">
      <formula>$J$79="penaltis"</formula>
    </cfRule>
  </conditionalFormatting>
  <conditionalFormatting sqref="K81:L81">
    <cfRule type="expression" dxfId="886" priority="18">
      <formula>$J$81="penaltis"</formula>
    </cfRule>
  </conditionalFormatting>
  <conditionalFormatting sqref="N12:W13">
    <cfRule type="expression" dxfId="885" priority="14">
      <formula>$Q$16=12</formula>
    </cfRule>
  </conditionalFormatting>
  <conditionalFormatting sqref="N18:W19">
    <cfRule type="expression" dxfId="884" priority="12">
      <formula>$Q$22=12</formula>
    </cfRule>
  </conditionalFormatting>
  <conditionalFormatting sqref="N24:W25">
    <cfRule type="expression" dxfId="883" priority="11">
      <formula>$Q$28=12</formula>
    </cfRule>
  </conditionalFormatting>
  <conditionalFormatting sqref="N30:W31">
    <cfRule type="expression" dxfId="882" priority="10">
      <formula>$Q$34=12</formula>
    </cfRule>
  </conditionalFormatting>
  <conditionalFormatting sqref="N36:W37">
    <cfRule type="expression" dxfId="881" priority="9">
      <formula>$Q$40=12</formula>
    </cfRule>
  </conditionalFormatting>
  <conditionalFormatting sqref="N42:W43">
    <cfRule type="expression" dxfId="880" priority="8">
      <formula>$Q$46=12</formula>
    </cfRule>
  </conditionalFormatting>
  <conditionalFormatting sqref="N48:W49">
    <cfRule type="expression" dxfId="879" priority="7">
      <formula>$Q$52=12</formula>
    </cfRule>
  </conditionalFormatting>
  <conditionalFormatting sqref="N54:W55">
    <cfRule type="expression" dxfId="878" priority="6">
      <formula>$Q$58=12</formula>
    </cfRule>
  </conditionalFormatting>
  <conditionalFormatting sqref="Y8">
    <cfRule type="cellIs" dxfId="877" priority="5" stopIfTrue="1" operator="equal">
      <formula>#REF!</formula>
    </cfRule>
  </conditionalFormatting>
  <conditionalFormatting sqref="E62:I81">
    <cfRule type="cellIs" dxfId="876" priority="103" stopIfTrue="1" operator="equal">
      <formula>$Y$7</formula>
    </cfRule>
  </conditionalFormatting>
  <conditionalFormatting sqref="J7:R7">
    <cfRule type="notContainsBlanks" dxfId="875" priority="4">
      <formula>LEN(TRIM(J7))&gt;0</formula>
    </cfRule>
  </conditionalFormatting>
  <conditionalFormatting sqref="A47 A53 A17 A23 A29 A35 A41 A11 E11:E58 I11:I58">
    <cfRule type="cellIs" dxfId="874" priority="1" stopIfTrue="1" operator="equal">
      <formula>$Y$7</formula>
    </cfRule>
  </conditionalFormatting>
  <dataValidations xWindow="524" yWindow="454"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G61" xr:uid="{00000000-0002-0000-0100-000000000000}"/>
  </dataValidations>
  <pageMargins left="0.511811024" right="0.511811024" top="0.78740157499999996" bottom="0.78740157499999996" header="0.31496062000000002" footer="0.31496062000000002"/>
  <pageSetup paperSize="9" orientation="portrait" horizontalDpi="4294967293" verticalDpi="4294967293"/>
  <headerFooter>
    <oddFooter>&amp;L_x000D_&amp;1#&amp;"Calibri"&amp;10&amp;K008000 Classificação do documento: Público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List Box 1">
              <controlPr defaultSize="0" autoLine="0" autoPict="0">
                <anchor moveWithCells="1" sizeWithCells="1">
                  <from>
                    <xdr:col>0</xdr:col>
                    <xdr:colOff>66675</xdr:colOff>
                    <xdr:row>0</xdr:row>
                    <xdr:rowOff>47625</xdr:rowOff>
                  </from>
                  <to>
                    <xdr:col>2</xdr:col>
                    <xdr:colOff>390525</xdr:colOff>
                    <xdr:row>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H698"/>
  <sheetViews>
    <sheetView workbookViewId="0">
      <selection activeCell="A2" sqref="A2:XFD2"/>
    </sheetView>
  </sheetViews>
  <sheetFormatPr defaultColWidth="9.14453125" defaultRowHeight="14.25" x14ac:dyDescent="0.2"/>
  <cols>
    <col min="1" max="1" width="9.14453125" style="481"/>
    <col min="2" max="2" width="11.97265625" style="481" customWidth="1"/>
    <col min="3" max="6" width="9.14453125" style="481"/>
    <col min="7" max="7" width="13.31640625" style="481" bestFit="1" customWidth="1"/>
    <col min="8" max="8" width="9.68359375" style="481" bestFit="1" customWidth="1"/>
    <col min="9" max="16384" width="9.14453125" style="478"/>
  </cols>
  <sheetData>
    <row r="1" spans="1:8" x14ac:dyDescent="0.2">
      <c r="A1" s="481" t="s">
        <v>76</v>
      </c>
      <c r="B1" s="481" t="s">
        <v>95</v>
      </c>
      <c r="C1" s="481" t="s">
        <v>281</v>
      </c>
      <c r="D1" s="481" t="s">
        <v>347</v>
      </c>
      <c r="E1" s="481" t="s">
        <v>0</v>
      </c>
      <c r="F1" s="481" t="s">
        <v>348</v>
      </c>
      <c r="G1" s="481" t="s">
        <v>282</v>
      </c>
      <c r="H1" s="481" t="s">
        <v>283</v>
      </c>
    </row>
    <row r="2" spans="1:8" x14ac:dyDescent="0.2">
      <c r="A2" s="480" t="s">
        <v>303</v>
      </c>
      <c r="B2" s="479">
        <v>44887</v>
      </c>
      <c r="C2" s="481" t="s">
        <v>3</v>
      </c>
      <c r="D2" s="481">
        <v>3</v>
      </c>
      <c r="E2" s="481" t="s">
        <v>0</v>
      </c>
      <c r="F2" s="481">
        <v>0</v>
      </c>
      <c r="G2" s="481" t="s">
        <v>159</v>
      </c>
      <c r="H2" s="481" t="s">
        <v>176</v>
      </c>
    </row>
    <row r="3" spans="1:8" x14ac:dyDescent="0.2">
      <c r="A3" s="480" t="s">
        <v>303</v>
      </c>
      <c r="B3" s="479">
        <v>44887</v>
      </c>
      <c r="C3" s="481" t="s">
        <v>3</v>
      </c>
      <c r="D3" s="481">
        <v>2</v>
      </c>
      <c r="E3" s="481" t="s">
        <v>0</v>
      </c>
      <c r="F3" s="481">
        <v>0</v>
      </c>
      <c r="G3" s="481" t="s">
        <v>159</v>
      </c>
      <c r="H3" s="481" t="s">
        <v>226</v>
      </c>
    </row>
    <row r="4" spans="1:8" x14ac:dyDescent="0.2">
      <c r="A4" s="480" t="s">
        <v>303</v>
      </c>
      <c r="B4" s="479">
        <v>44887</v>
      </c>
      <c r="C4" s="481" t="s">
        <v>3</v>
      </c>
      <c r="D4" s="481">
        <v>3</v>
      </c>
      <c r="E4" s="481" t="s">
        <v>0</v>
      </c>
      <c r="F4" s="481">
        <v>1</v>
      </c>
      <c r="G4" s="481" t="s">
        <v>159</v>
      </c>
      <c r="H4" s="481" t="s">
        <v>228</v>
      </c>
    </row>
    <row r="5" spans="1:8" x14ac:dyDescent="0.2">
      <c r="A5" s="480" t="s">
        <v>303</v>
      </c>
      <c r="B5" s="479">
        <v>44887</v>
      </c>
      <c r="C5" s="481" t="s">
        <v>3</v>
      </c>
      <c r="D5" s="481">
        <v>2</v>
      </c>
      <c r="E5" s="481" t="s">
        <v>0</v>
      </c>
      <c r="F5" s="481">
        <v>0</v>
      </c>
      <c r="G5" s="481" t="s">
        <v>159</v>
      </c>
      <c r="H5" s="481" t="s">
        <v>179</v>
      </c>
    </row>
    <row r="6" spans="1:8" x14ac:dyDescent="0.2">
      <c r="A6" s="480" t="s">
        <v>303</v>
      </c>
      <c r="B6" s="479">
        <v>44887</v>
      </c>
      <c r="C6" s="481" t="s">
        <v>3</v>
      </c>
      <c r="D6" s="481">
        <v>2</v>
      </c>
      <c r="E6" s="481" t="s">
        <v>0</v>
      </c>
      <c r="F6" s="481">
        <v>1</v>
      </c>
      <c r="G6" s="481" t="s">
        <v>159</v>
      </c>
      <c r="H6" s="481" t="s">
        <v>223</v>
      </c>
    </row>
    <row r="7" spans="1:8" x14ac:dyDescent="0.2">
      <c r="A7" s="480" t="s">
        <v>303</v>
      </c>
      <c r="B7" s="479">
        <v>44887</v>
      </c>
      <c r="C7" s="481" t="s">
        <v>3</v>
      </c>
      <c r="D7" s="481">
        <v>2</v>
      </c>
      <c r="E7" s="481" t="s">
        <v>0</v>
      </c>
      <c r="F7" s="481">
        <v>0</v>
      </c>
      <c r="G7" s="481" t="s">
        <v>159</v>
      </c>
      <c r="H7" s="481" t="s">
        <v>186</v>
      </c>
    </row>
    <row r="8" spans="1:8" x14ac:dyDescent="0.2">
      <c r="A8" s="480" t="s">
        <v>303</v>
      </c>
      <c r="B8" s="479">
        <v>44887</v>
      </c>
      <c r="C8" s="481" t="s">
        <v>3</v>
      </c>
      <c r="D8" s="481">
        <v>3</v>
      </c>
      <c r="E8" s="481" t="s">
        <v>0</v>
      </c>
      <c r="F8" s="481">
        <v>1</v>
      </c>
      <c r="G8" s="481" t="s">
        <v>159</v>
      </c>
      <c r="H8" s="481" t="s">
        <v>180</v>
      </c>
    </row>
    <row r="9" spans="1:8" x14ac:dyDescent="0.2">
      <c r="A9" s="480" t="s">
        <v>303</v>
      </c>
      <c r="B9" s="479">
        <v>44887</v>
      </c>
      <c r="C9" s="481" t="s">
        <v>3</v>
      </c>
      <c r="D9" s="481">
        <v>3</v>
      </c>
      <c r="E9" s="481" t="s">
        <v>0</v>
      </c>
      <c r="F9" s="481">
        <v>0</v>
      </c>
      <c r="G9" s="481" t="s">
        <v>159</v>
      </c>
      <c r="H9" s="481" t="s">
        <v>225</v>
      </c>
    </row>
    <row r="10" spans="1:8" x14ac:dyDescent="0.2">
      <c r="A10" s="480" t="s">
        <v>303</v>
      </c>
      <c r="B10" s="479">
        <v>44887</v>
      </c>
      <c r="C10" s="481" t="s">
        <v>3</v>
      </c>
      <c r="D10" s="481">
        <v>2</v>
      </c>
      <c r="E10" s="481" t="s">
        <v>0</v>
      </c>
      <c r="F10" s="481">
        <v>0</v>
      </c>
      <c r="G10" s="481" t="s">
        <v>159</v>
      </c>
      <c r="H10" s="481" t="s">
        <v>224</v>
      </c>
    </row>
    <row r="11" spans="1:8" x14ac:dyDescent="0.2">
      <c r="A11" s="480" t="s">
        <v>303</v>
      </c>
      <c r="B11" s="479">
        <v>44887</v>
      </c>
      <c r="C11" s="481" t="s">
        <v>3</v>
      </c>
      <c r="D11" s="481">
        <v>2</v>
      </c>
      <c r="E11" s="481" t="s">
        <v>0</v>
      </c>
      <c r="F11" s="481">
        <v>0</v>
      </c>
      <c r="G11" s="481" t="s">
        <v>159</v>
      </c>
      <c r="H11" s="481" t="s">
        <v>181</v>
      </c>
    </row>
    <row r="12" spans="1:8" x14ac:dyDescent="0.2">
      <c r="A12" s="480" t="s">
        <v>303</v>
      </c>
      <c r="B12" s="479">
        <v>44887</v>
      </c>
      <c r="C12" s="481" t="s">
        <v>3</v>
      </c>
      <c r="D12" s="481">
        <v>3</v>
      </c>
      <c r="E12" s="481" t="s">
        <v>0</v>
      </c>
      <c r="F12" s="481">
        <v>0</v>
      </c>
      <c r="G12" s="481" t="s">
        <v>159</v>
      </c>
      <c r="H12" s="481" t="s">
        <v>177</v>
      </c>
    </row>
    <row r="13" spans="1:8" x14ac:dyDescent="0.2">
      <c r="A13" s="480" t="s">
        <v>303</v>
      </c>
      <c r="B13" s="479">
        <v>44887</v>
      </c>
      <c r="C13" s="481" t="s">
        <v>3</v>
      </c>
      <c r="D13" s="481">
        <v>3</v>
      </c>
      <c r="E13" s="481" t="s">
        <v>0</v>
      </c>
      <c r="F13" s="481">
        <v>0</v>
      </c>
      <c r="G13" s="481" t="s">
        <v>159</v>
      </c>
      <c r="H13" s="481" t="s">
        <v>184</v>
      </c>
    </row>
    <row r="14" spans="1:8" x14ac:dyDescent="0.2">
      <c r="A14" s="480" t="s">
        <v>303</v>
      </c>
      <c r="B14" s="479">
        <v>44887</v>
      </c>
      <c r="C14" s="481" t="s">
        <v>3</v>
      </c>
      <c r="D14" s="481">
        <v>3</v>
      </c>
      <c r="E14" s="481" t="s">
        <v>0</v>
      </c>
      <c r="F14" s="481">
        <v>0</v>
      </c>
      <c r="G14" s="481" t="s">
        <v>159</v>
      </c>
      <c r="H14" s="481" t="s">
        <v>227</v>
      </c>
    </row>
    <row r="15" spans="1:8" x14ac:dyDescent="0.2">
      <c r="A15" s="480" t="s">
        <v>303</v>
      </c>
      <c r="B15" s="479">
        <v>44887</v>
      </c>
      <c r="C15" s="481" t="s">
        <v>3</v>
      </c>
      <c r="D15" s="481">
        <v>3</v>
      </c>
      <c r="E15" s="481" t="s">
        <v>0</v>
      </c>
      <c r="F15" s="481">
        <v>0</v>
      </c>
      <c r="G15" s="481" t="s">
        <v>159</v>
      </c>
      <c r="H15" s="481" t="s">
        <v>183</v>
      </c>
    </row>
    <row r="16" spans="1:8" x14ac:dyDescent="0.2">
      <c r="A16" s="480" t="s">
        <v>303</v>
      </c>
      <c r="B16" s="479">
        <v>44887</v>
      </c>
      <c r="C16" s="481" t="s">
        <v>3</v>
      </c>
      <c r="D16" s="481">
        <v>2</v>
      </c>
      <c r="E16" s="481" t="s">
        <v>0</v>
      </c>
      <c r="F16" s="481">
        <v>0</v>
      </c>
      <c r="G16" s="481" t="s">
        <v>159</v>
      </c>
      <c r="H16" s="481" t="s">
        <v>185</v>
      </c>
    </row>
    <row r="17" spans="1:8" x14ac:dyDescent="0.2">
      <c r="A17" s="480" t="s">
        <v>303</v>
      </c>
      <c r="B17" s="479">
        <v>44887</v>
      </c>
      <c r="C17" s="481" t="s">
        <v>3</v>
      </c>
      <c r="D17" s="481">
        <v>2</v>
      </c>
      <c r="E17" s="481" t="s">
        <v>0</v>
      </c>
      <c r="F17" s="481">
        <v>0</v>
      </c>
      <c r="G17" s="481" t="s">
        <v>159</v>
      </c>
      <c r="H17" s="481" t="s">
        <v>332</v>
      </c>
    </row>
    <row r="18" spans="1:8" x14ac:dyDescent="0.2">
      <c r="A18" s="480" t="s">
        <v>303</v>
      </c>
      <c r="B18" s="479">
        <v>44887</v>
      </c>
      <c r="C18" s="483" t="s">
        <v>3</v>
      </c>
      <c r="D18" s="483">
        <v>2</v>
      </c>
      <c r="E18" s="483" t="s">
        <v>0</v>
      </c>
      <c r="F18" s="483">
        <v>1</v>
      </c>
      <c r="G18" s="483" t="s">
        <v>159</v>
      </c>
      <c r="H18" s="481" t="s">
        <v>182</v>
      </c>
    </row>
    <row r="19" spans="1:8" x14ac:dyDescent="0.2">
      <c r="A19" s="480" t="s">
        <v>308</v>
      </c>
      <c r="B19" s="479">
        <v>44888</v>
      </c>
      <c r="C19" s="481" t="s">
        <v>7</v>
      </c>
      <c r="D19" s="481">
        <v>2</v>
      </c>
      <c r="E19" s="481" t="s">
        <v>0</v>
      </c>
      <c r="F19" s="481">
        <v>2</v>
      </c>
      <c r="G19" s="481" t="s">
        <v>8</v>
      </c>
      <c r="H19" s="481" t="s">
        <v>176</v>
      </c>
    </row>
    <row r="20" spans="1:8" x14ac:dyDescent="0.2">
      <c r="A20" s="480" t="s">
        <v>309</v>
      </c>
      <c r="B20" s="479">
        <v>44888</v>
      </c>
      <c r="C20" s="481" t="s">
        <v>11</v>
      </c>
      <c r="D20" s="481">
        <v>2</v>
      </c>
      <c r="E20" s="481" t="s">
        <v>0</v>
      </c>
      <c r="F20" s="481">
        <v>0</v>
      </c>
      <c r="G20" s="481" t="s">
        <v>160</v>
      </c>
      <c r="H20" s="481" t="s">
        <v>176</v>
      </c>
    </row>
    <row r="21" spans="1:8" x14ac:dyDescent="0.2">
      <c r="A21" s="480" t="s">
        <v>314</v>
      </c>
      <c r="B21" s="479">
        <v>44888</v>
      </c>
      <c r="C21" s="481" t="s">
        <v>126</v>
      </c>
      <c r="D21" s="481">
        <v>0</v>
      </c>
      <c r="E21" s="481" t="s">
        <v>0</v>
      </c>
      <c r="F21" s="481">
        <v>2</v>
      </c>
      <c r="G21" s="481" t="s">
        <v>70</v>
      </c>
      <c r="H21" s="481" t="s">
        <v>176</v>
      </c>
    </row>
    <row r="22" spans="1:8" x14ac:dyDescent="0.2">
      <c r="A22" s="480" t="s">
        <v>315</v>
      </c>
      <c r="B22" s="479">
        <v>44888</v>
      </c>
      <c r="C22" s="481" t="s">
        <v>104</v>
      </c>
      <c r="D22" s="481">
        <v>2</v>
      </c>
      <c r="E22" s="481" t="s">
        <v>0</v>
      </c>
      <c r="F22" s="481">
        <v>1</v>
      </c>
      <c r="G22" s="481" t="s">
        <v>150</v>
      </c>
      <c r="H22" s="481" t="s">
        <v>176</v>
      </c>
    </row>
    <row r="23" spans="1:8" x14ac:dyDescent="0.2">
      <c r="A23" s="480" t="s">
        <v>308</v>
      </c>
      <c r="B23" s="479">
        <v>44888</v>
      </c>
      <c r="C23" s="481" t="s">
        <v>7</v>
      </c>
      <c r="D23" s="481">
        <v>1</v>
      </c>
      <c r="E23" s="481" t="s">
        <v>0</v>
      </c>
      <c r="F23" s="481">
        <v>0</v>
      </c>
      <c r="G23" s="481" t="s">
        <v>8</v>
      </c>
      <c r="H23" s="481" t="s">
        <v>226</v>
      </c>
    </row>
    <row r="24" spans="1:8" x14ac:dyDescent="0.2">
      <c r="A24" s="480" t="s">
        <v>309</v>
      </c>
      <c r="B24" s="479">
        <v>44888</v>
      </c>
      <c r="C24" s="481" t="s">
        <v>11</v>
      </c>
      <c r="D24" s="481">
        <v>2</v>
      </c>
      <c r="E24" s="481" t="s">
        <v>0</v>
      </c>
      <c r="F24" s="481">
        <v>0</v>
      </c>
      <c r="G24" s="481" t="s">
        <v>160</v>
      </c>
      <c r="H24" s="481" t="s">
        <v>226</v>
      </c>
    </row>
    <row r="25" spans="1:8" x14ac:dyDescent="0.2">
      <c r="A25" s="480" t="s">
        <v>314</v>
      </c>
      <c r="B25" s="479">
        <v>44888</v>
      </c>
      <c r="C25" s="481" t="s">
        <v>126</v>
      </c>
      <c r="D25" s="481">
        <v>0</v>
      </c>
      <c r="E25" s="481" t="s">
        <v>0</v>
      </c>
      <c r="F25" s="481">
        <v>2</v>
      </c>
      <c r="G25" s="481" t="s">
        <v>70</v>
      </c>
      <c r="H25" s="481" t="s">
        <v>226</v>
      </c>
    </row>
    <row r="26" spans="1:8" x14ac:dyDescent="0.2">
      <c r="A26" s="480" t="s">
        <v>315</v>
      </c>
      <c r="B26" s="479">
        <v>44888</v>
      </c>
      <c r="C26" s="481" t="s">
        <v>104</v>
      </c>
      <c r="D26" s="481">
        <v>3</v>
      </c>
      <c r="E26" s="481" t="s">
        <v>0</v>
      </c>
      <c r="F26" s="481">
        <v>0</v>
      </c>
      <c r="G26" s="481" t="s">
        <v>150</v>
      </c>
      <c r="H26" s="481" t="s">
        <v>226</v>
      </c>
    </row>
    <row r="27" spans="1:8" x14ac:dyDescent="0.2">
      <c r="A27" s="480" t="s">
        <v>308</v>
      </c>
      <c r="B27" s="479">
        <v>44888</v>
      </c>
      <c r="C27" s="481" t="s">
        <v>7</v>
      </c>
      <c r="D27" s="481">
        <v>2</v>
      </c>
      <c r="E27" s="481" t="s">
        <v>0</v>
      </c>
      <c r="F27" s="481">
        <v>1</v>
      </c>
      <c r="G27" s="481" t="s">
        <v>8</v>
      </c>
      <c r="H27" s="481" t="s">
        <v>228</v>
      </c>
    </row>
    <row r="28" spans="1:8" x14ac:dyDescent="0.2">
      <c r="A28" s="480" t="s">
        <v>309</v>
      </c>
      <c r="B28" s="479">
        <v>44888</v>
      </c>
      <c r="C28" s="481" t="s">
        <v>11</v>
      </c>
      <c r="D28" s="481">
        <v>2</v>
      </c>
      <c r="E28" s="481" t="s">
        <v>0</v>
      </c>
      <c r="F28" s="481">
        <v>0</v>
      </c>
      <c r="G28" s="481" t="s">
        <v>160</v>
      </c>
      <c r="H28" s="481" t="s">
        <v>228</v>
      </c>
    </row>
    <row r="29" spans="1:8" x14ac:dyDescent="0.2">
      <c r="A29" s="480" t="s">
        <v>314</v>
      </c>
      <c r="B29" s="479">
        <v>44888</v>
      </c>
      <c r="C29" s="481" t="s">
        <v>126</v>
      </c>
      <c r="D29" s="481">
        <v>0</v>
      </c>
      <c r="E29" s="481" t="s">
        <v>0</v>
      </c>
      <c r="F29" s="481">
        <v>2</v>
      </c>
      <c r="G29" s="481" t="s">
        <v>70</v>
      </c>
      <c r="H29" s="481" t="s">
        <v>228</v>
      </c>
    </row>
    <row r="30" spans="1:8" x14ac:dyDescent="0.2">
      <c r="A30" s="480" t="s">
        <v>315</v>
      </c>
      <c r="B30" s="479">
        <v>44888</v>
      </c>
      <c r="C30" s="481" t="s">
        <v>104</v>
      </c>
      <c r="D30" s="481">
        <v>2</v>
      </c>
      <c r="E30" s="481" t="s">
        <v>0</v>
      </c>
      <c r="F30" s="481">
        <v>0</v>
      </c>
      <c r="G30" s="481" t="s">
        <v>150</v>
      </c>
      <c r="H30" s="481" t="s">
        <v>228</v>
      </c>
    </row>
    <row r="31" spans="1:8" x14ac:dyDescent="0.2">
      <c r="A31" s="480" t="s">
        <v>308</v>
      </c>
      <c r="B31" s="479">
        <v>44888</v>
      </c>
      <c r="C31" s="481" t="s">
        <v>7</v>
      </c>
      <c r="D31" s="481">
        <v>2</v>
      </c>
      <c r="E31" s="481" t="s">
        <v>0</v>
      </c>
      <c r="F31" s="481">
        <v>0</v>
      </c>
      <c r="G31" s="481" t="s">
        <v>8</v>
      </c>
      <c r="H31" s="481" t="s">
        <v>179</v>
      </c>
    </row>
    <row r="32" spans="1:8" x14ac:dyDescent="0.2">
      <c r="A32" s="480" t="s">
        <v>309</v>
      </c>
      <c r="B32" s="479">
        <v>44888</v>
      </c>
      <c r="C32" s="481" t="s">
        <v>11</v>
      </c>
      <c r="D32" s="481">
        <v>2</v>
      </c>
      <c r="E32" s="481" t="s">
        <v>0</v>
      </c>
      <c r="F32" s="481">
        <v>1</v>
      </c>
      <c r="G32" s="481" t="s">
        <v>160</v>
      </c>
      <c r="H32" s="481" t="s">
        <v>179</v>
      </c>
    </row>
    <row r="33" spans="1:8" x14ac:dyDescent="0.2">
      <c r="A33" s="480" t="s">
        <v>314</v>
      </c>
      <c r="B33" s="479">
        <v>44888</v>
      </c>
      <c r="C33" s="481" t="s">
        <v>126</v>
      </c>
      <c r="D33" s="481">
        <v>0</v>
      </c>
      <c r="E33" s="481" t="s">
        <v>0</v>
      </c>
      <c r="F33" s="481">
        <v>1</v>
      </c>
      <c r="G33" s="481" t="s">
        <v>70</v>
      </c>
      <c r="H33" s="481" t="s">
        <v>179</v>
      </c>
    </row>
    <row r="34" spans="1:8" x14ac:dyDescent="0.2">
      <c r="A34" s="480" t="s">
        <v>315</v>
      </c>
      <c r="B34" s="479">
        <v>44888</v>
      </c>
      <c r="C34" s="481" t="s">
        <v>104</v>
      </c>
      <c r="D34" s="481">
        <v>2</v>
      </c>
      <c r="E34" s="481" t="s">
        <v>0</v>
      </c>
      <c r="F34" s="481">
        <v>1</v>
      </c>
      <c r="G34" s="481" t="s">
        <v>150</v>
      </c>
      <c r="H34" s="481" t="s">
        <v>179</v>
      </c>
    </row>
    <row r="35" spans="1:8" x14ac:dyDescent="0.2">
      <c r="A35" s="480" t="s">
        <v>308</v>
      </c>
      <c r="B35" s="479">
        <v>44888</v>
      </c>
      <c r="C35" s="481" t="s">
        <v>7</v>
      </c>
      <c r="D35" s="481">
        <v>3</v>
      </c>
      <c r="E35" s="481" t="s">
        <v>0</v>
      </c>
      <c r="F35" s="481">
        <v>1</v>
      </c>
      <c r="G35" s="481" t="s">
        <v>8</v>
      </c>
      <c r="H35" s="481" t="s">
        <v>223</v>
      </c>
    </row>
    <row r="36" spans="1:8" x14ac:dyDescent="0.2">
      <c r="A36" s="480" t="s">
        <v>309</v>
      </c>
      <c r="B36" s="479">
        <v>44888</v>
      </c>
      <c r="C36" s="481" t="s">
        <v>11</v>
      </c>
      <c r="D36" s="481">
        <v>3</v>
      </c>
      <c r="E36" s="481" t="s">
        <v>0</v>
      </c>
      <c r="F36" s="481">
        <v>2</v>
      </c>
      <c r="G36" s="481" t="s">
        <v>160</v>
      </c>
      <c r="H36" s="481" t="s">
        <v>223</v>
      </c>
    </row>
    <row r="37" spans="1:8" x14ac:dyDescent="0.2">
      <c r="A37" s="480" t="s">
        <v>314</v>
      </c>
      <c r="B37" s="479">
        <v>44888</v>
      </c>
      <c r="C37" s="481" t="s">
        <v>126</v>
      </c>
      <c r="D37" s="481">
        <v>2</v>
      </c>
      <c r="E37" s="481" t="s">
        <v>0</v>
      </c>
      <c r="F37" s="481">
        <v>5</v>
      </c>
      <c r="G37" s="481" t="s">
        <v>70</v>
      </c>
      <c r="H37" s="481" t="s">
        <v>223</v>
      </c>
    </row>
    <row r="38" spans="1:8" x14ac:dyDescent="0.2">
      <c r="A38" s="480" t="s">
        <v>315</v>
      </c>
      <c r="B38" s="479">
        <v>44888</v>
      </c>
      <c r="C38" s="481" t="s">
        <v>104</v>
      </c>
      <c r="D38" s="481">
        <v>3</v>
      </c>
      <c r="E38" s="481" t="s">
        <v>0</v>
      </c>
      <c r="F38" s="481">
        <v>1</v>
      </c>
      <c r="G38" s="481" t="s">
        <v>150</v>
      </c>
      <c r="H38" s="481" t="s">
        <v>223</v>
      </c>
    </row>
    <row r="39" spans="1:8" x14ac:dyDescent="0.2">
      <c r="A39" s="480" t="s">
        <v>308</v>
      </c>
      <c r="B39" s="479">
        <v>44888</v>
      </c>
      <c r="C39" s="481" t="s">
        <v>7</v>
      </c>
      <c r="D39" s="481">
        <v>2</v>
      </c>
      <c r="E39" s="481" t="s">
        <v>0</v>
      </c>
      <c r="F39" s="481">
        <v>0</v>
      </c>
      <c r="G39" s="481" t="s">
        <v>8</v>
      </c>
      <c r="H39" s="481" t="s">
        <v>186</v>
      </c>
    </row>
    <row r="40" spans="1:8" x14ac:dyDescent="0.2">
      <c r="A40" s="480" t="s">
        <v>309</v>
      </c>
      <c r="B40" s="479">
        <v>44888</v>
      </c>
      <c r="C40" s="481" t="s">
        <v>11</v>
      </c>
      <c r="D40" s="481">
        <v>1</v>
      </c>
      <c r="E40" s="481" t="s">
        <v>0</v>
      </c>
      <c r="F40" s="481">
        <v>0</v>
      </c>
      <c r="G40" s="481" t="s">
        <v>160</v>
      </c>
      <c r="H40" s="481" t="s">
        <v>186</v>
      </c>
    </row>
    <row r="41" spans="1:8" x14ac:dyDescent="0.2">
      <c r="A41" s="480" t="s">
        <v>314</v>
      </c>
      <c r="B41" s="479">
        <v>44888</v>
      </c>
      <c r="C41" s="481" t="s">
        <v>126</v>
      </c>
      <c r="D41" s="481">
        <v>0</v>
      </c>
      <c r="E41" s="481" t="s">
        <v>0</v>
      </c>
      <c r="F41" s="481">
        <v>3</v>
      </c>
      <c r="G41" s="481" t="s">
        <v>70</v>
      </c>
      <c r="H41" s="481" t="s">
        <v>186</v>
      </c>
    </row>
    <row r="42" spans="1:8" x14ac:dyDescent="0.2">
      <c r="A42" s="480" t="s">
        <v>315</v>
      </c>
      <c r="B42" s="479">
        <v>44888</v>
      </c>
      <c r="C42" s="481" t="s">
        <v>104</v>
      </c>
      <c r="D42" s="481">
        <v>3</v>
      </c>
      <c r="E42" s="481" t="s">
        <v>0</v>
      </c>
      <c r="F42" s="481">
        <v>0</v>
      </c>
      <c r="G42" s="481" t="s">
        <v>150</v>
      </c>
      <c r="H42" s="481" t="s">
        <v>186</v>
      </c>
    </row>
    <row r="43" spans="1:8" x14ac:dyDescent="0.2">
      <c r="A43" s="480" t="s">
        <v>308</v>
      </c>
      <c r="B43" s="479">
        <v>44888</v>
      </c>
      <c r="C43" s="481" t="s">
        <v>7</v>
      </c>
      <c r="D43" s="481">
        <v>2</v>
      </c>
      <c r="E43" s="481" t="s">
        <v>0</v>
      </c>
      <c r="F43" s="481">
        <v>1</v>
      </c>
      <c r="G43" s="481" t="s">
        <v>8</v>
      </c>
      <c r="H43" s="481" t="s">
        <v>180</v>
      </c>
    </row>
    <row r="44" spans="1:8" x14ac:dyDescent="0.2">
      <c r="A44" s="480" t="s">
        <v>309</v>
      </c>
      <c r="B44" s="479">
        <v>44888</v>
      </c>
      <c r="C44" s="481" t="s">
        <v>11</v>
      </c>
      <c r="D44" s="481">
        <v>2</v>
      </c>
      <c r="E44" s="481" t="s">
        <v>0</v>
      </c>
      <c r="F44" s="481">
        <v>1</v>
      </c>
      <c r="G44" s="481" t="s">
        <v>160</v>
      </c>
      <c r="H44" s="481" t="s">
        <v>180</v>
      </c>
    </row>
    <row r="45" spans="1:8" x14ac:dyDescent="0.2">
      <c r="A45" s="480" t="s">
        <v>314</v>
      </c>
      <c r="B45" s="479">
        <v>44888</v>
      </c>
      <c r="C45" s="481" t="s">
        <v>126</v>
      </c>
      <c r="D45" s="481">
        <v>2</v>
      </c>
      <c r="E45" s="481" t="s">
        <v>0</v>
      </c>
      <c r="F45" s="481">
        <v>2</v>
      </c>
      <c r="G45" s="481" t="s">
        <v>70</v>
      </c>
      <c r="H45" s="481" t="s">
        <v>180</v>
      </c>
    </row>
    <row r="46" spans="1:8" x14ac:dyDescent="0.2">
      <c r="A46" s="480" t="s">
        <v>315</v>
      </c>
      <c r="B46" s="479">
        <v>44888</v>
      </c>
      <c r="C46" s="481" t="s">
        <v>104</v>
      </c>
      <c r="D46" s="481">
        <v>2</v>
      </c>
      <c r="E46" s="481" t="s">
        <v>0</v>
      </c>
      <c r="F46" s="481">
        <v>0</v>
      </c>
      <c r="G46" s="481" t="s">
        <v>150</v>
      </c>
      <c r="H46" s="481" t="s">
        <v>180</v>
      </c>
    </row>
    <row r="47" spans="1:8" x14ac:dyDescent="0.2">
      <c r="A47" s="480" t="s">
        <v>308</v>
      </c>
      <c r="B47" s="479">
        <v>44888</v>
      </c>
      <c r="C47" s="481" t="s">
        <v>7</v>
      </c>
      <c r="D47" s="481">
        <v>2</v>
      </c>
      <c r="E47" s="481" t="s">
        <v>0</v>
      </c>
      <c r="F47" s="481">
        <v>1</v>
      </c>
      <c r="G47" s="481" t="s">
        <v>8</v>
      </c>
      <c r="H47" s="481" t="s">
        <v>225</v>
      </c>
    </row>
    <row r="48" spans="1:8" x14ac:dyDescent="0.2">
      <c r="A48" s="480" t="s">
        <v>309</v>
      </c>
      <c r="B48" s="479">
        <v>44888</v>
      </c>
      <c r="C48" s="481" t="s">
        <v>11</v>
      </c>
      <c r="D48" s="481">
        <v>2</v>
      </c>
      <c r="E48" s="481" t="s">
        <v>0</v>
      </c>
      <c r="F48" s="481">
        <v>0</v>
      </c>
      <c r="G48" s="481" t="s">
        <v>160</v>
      </c>
      <c r="H48" s="481" t="s">
        <v>225</v>
      </c>
    </row>
    <row r="49" spans="1:8" x14ac:dyDescent="0.2">
      <c r="A49" s="480" t="s">
        <v>314</v>
      </c>
      <c r="B49" s="479">
        <v>44888</v>
      </c>
      <c r="C49" s="481" t="s">
        <v>126</v>
      </c>
      <c r="D49" s="481">
        <v>0</v>
      </c>
      <c r="E49" s="481" t="s">
        <v>0</v>
      </c>
      <c r="F49" s="481">
        <v>2</v>
      </c>
      <c r="G49" s="481" t="s">
        <v>70</v>
      </c>
      <c r="H49" s="481" t="s">
        <v>225</v>
      </c>
    </row>
    <row r="50" spans="1:8" x14ac:dyDescent="0.2">
      <c r="A50" s="480" t="s">
        <v>315</v>
      </c>
      <c r="B50" s="479">
        <v>44888</v>
      </c>
      <c r="C50" s="481" t="s">
        <v>104</v>
      </c>
      <c r="D50" s="481">
        <v>3</v>
      </c>
      <c r="E50" s="481" t="s">
        <v>0</v>
      </c>
      <c r="F50" s="481">
        <v>0</v>
      </c>
      <c r="G50" s="481" t="s">
        <v>150</v>
      </c>
      <c r="H50" s="481" t="s">
        <v>225</v>
      </c>
    </row>
    <row r="51" spans="1:8" x14ac:dyDescent="0.2">
      <c r="A51" s="480" t="s">
        <v>308</v>
      </c>
      <c r="B51" s="479">
        <v>44888</v>
      </c>
      <c r="C51" s="481" t="s">
        <v>7</v>
      </c>
      <c r="D51" s="481">
        <v>3</v>
      </c>
      <c r="E51" s="481" t="s">
        <v>0</v>
      </c>
      <c r="F51" s="481">
        <v>1</v>
      </c>
      <c r="G51" s="481" t="s">
        <v>8</v>
      </c>
      <c r="H51" s="481" t="s">
        <v>224</v>
      </c>
    </row>
    <row r="52" spans="1:8" x14ac:dyDescent="0.2">
      <c r="A52" s="480" t="s">
        <v>309</v>
      </c>
      <c r="B52" s="479">
        <v>44888</v>
      </c>
      <c r="C52" s="481" t="s">
        <v>11</v>
      </c>
      <c r="D52" s="481">
        <v>2</v>
      </c>
      <c r="E52" s="481" t="s">
        <v>0</v>
      </c>
      <c r="F52" s="481">
        <v>0</v>
      </c>
      <c r="G52" s="481" t="s">
        <v>160</v>
      </c>
      <c r="H52" s="481" t="s">
        <v>224</v>
      </c>
    </row>
    <row r="53" spans="1:8" x14ac:dyDescent="0.2">
      <c r="A53" s="480" t="s">
        <v>314</v>
      </c>
      <c r="B53" s="479">
        <v>44888</v>
      </c>
      <c r="C53" s="481" t="s">
        <v>126</v>
      </c>
      <c r="D53" s="481">
        <v>1</v>
      </c>
      <c r="E53" s="481" t="s">
        <v>0</v>
      </c>
      <c r="F53" s="481">
        <v>3</v>
      </c>
      <c r="G53" s="481" t="s">
        <v>70</v>
      </c>
      <c r="H53" s="481" t="s">
        <v>224</v>
      </c>
    </row>
    <row r="54" spans="1:8" x14ac:dyDescent="0.2">
      <c r="A54" s="480" t="s">
        <v>315</v>
      </c>
      <c r="B54" s="479">
        <v>44888</v>
      </c>
      <c r="C54" s="481" t="s">
        <v>104</v>
      </c>
      <c r="D54" s="481">
        <v>2</v>
      </c>
      <c r="E54" s="481" t="s">
        <v>0</v>
      </c>
      <c r="F54" s="481">
        <v>0</v>
      </c>
      <c r="G54" s="481" t="s">
        <v>150</v>
      </c>
      <c r="H54" s="481" t="s">
        <v>224</v>
      </c>
    </row>
    <row r="55" spans="1:8" x14ac:dyDescent="0.2">
      <c r="A55" s="480" t="s">
        <v>308</v>
      </c>
      <c r="B55" s="479">
        <v>44888</v>
      </c>
      <c r="C55" s="481" t="s">
        <v>7</v>
      </c>
      <c r="D55" s="481">
        <v>2</v>
      </c>
      <c r="E55" s="481" t="s">
        <v>0</v>
      </c>
      <c r="F55" s="481">
        <v>0</v>
      </c>
      <c r="G55" s="481" t="s">
        <v>8</v>
      </c>
      <c r="H55" s="481" t="s">
        <v>181</v>
      </c>
    </row>
    <row r="56" spans="1:8" x14ac:dyDescent="0.2">
      <c r="A56" s="480" t="s">
        <v>309</v>
      </c>
      <c r="B56" s="479">
        <v>44888</v>
      </c>
      <c r="C56" s="481" t="s">
        <v>11</v>
      </c>
      <c r="D56" s="481">
        <v>1</v>
      </c>
      <c r="E56" s="481" t="s">
        <v>0</v>
      </c>
      <c r="F56" s="481">
        <v>0</v>
      </c>
      <c r="G56" s="481" t="s">
        <v>160</v>
      </c>
      <c r="H56" s="481" t="s">
        <v>181</v>
      </c>
    </row>
    <row r="57" spans="1:8" x14ac:dyDescent="0.2">
      <c r="A57" s="480" t="s">
        <v>314</v>
      </c>
      <c r="B57" s="479">
        <v>44888</v>
      </c>
      <c r="C57" s="481" t="s">
        <v>126</v>
      </c>
      <c r="D57" s="481">
        <v>0</v>
      </c>
      <c r="E57" s="481" t="s">
        <v>0</v>
      </c>
      <c r="F57" s="481">
        <v>2</v>
      </c>
      <c r="G57" s="481" t="s">
        <v>70</v>
      </c>
      <c r="H57" s="481" t="s">
        <v>181</v>
      </c>
    </row>
    <row r="58" spans="1:8" x14ac:dyDescent="0.2">
      <c r="A58" s="480" t="s">
        <v>315</v>
      </c>
      <c r="B58" s="479">
        <v>44888</v>
      </c>
      <c r="C58" s="481" t="s">
        <v>104</v>
      </c>
      <c r="D58" s="481">
        <v>2</v>
      </c>
      <c r="E58" s="481" t="s">
        <v>0</v>
      </c>
      <c r="F58" s="481">
        <v>0</v>
      </c>
      <c r="G58" s="481" t="s">
        <v>150</v>
      </c>
      <c r="H58" s="481" t="s">
        <v>181</v>
      </c>
    </row>
    <row r="59" spans="1:8" x14ac:dyDescent="0.2">
      <c r="A59" s="480" t="s">
        <v>308</v>
      </c>
      <c r="B59" s="479">
        <v>44888</v>
      </c>
      <c r="C59" s="481" t="s">
        <v>7</v>
      </c>
      <c r="D59" s="481">
        <v>3</v>
      </c>
      <c r="E59" s="481" t="s">
        <v>0</v>
      </c>
      <c r="F59" s="481">
        <v>0</v>
      </c>
      <c r="G59" s="481" t="s">
        <v>8</v>
      </c>
      <c r="H59" s="481" t="s">
        <v>177</v>
      </c>
    </row>
    <row r="60" spans="1:8" x14ac:dyDescent="0.2">
      <c r="A60" s="480" t="s">
        <v>309</v>
      </c>
      <c r="B60" s="479">
        <v>44888</v>
      </c>
      <c r="C60" s="481" t="s">
        <v>11</v>
      </c>
      <c r="D60" s="481">
        <v>3</v>
      </c>
      <c r="E60" s="481" t="s">
        <v>0</v>
      </c>
      <c r="F60" s="481">
        <v>0</v>
      </c>
      <c r="G60" s="481" t="s">
        <v>160</v>
      </c>
      <c r="H60" s="481" t="s">
        <v>177</v>
      </c>
    </row>
    <row r="61" spans="1:8" x14ac:dyDescent="0.2">
      <c r="A61" s="480" t="s">
        <v>314</v>
      </c>
      <c r="B61" s="479">
        <v>44888</v>
      </c>
      <c r="C61" s="481" t="s">
        <v>126</v>
      </c>
      <c r="D61" s="481">
        <v>0</v>
      </c>
      <c r="E61" s="481" t="s">
        <v>0</v>
      </c>
      <c r="F61" s="481">
        <v>0</v>
      </c>
      <c r="G61" s="481" t="s">
        <v>70</v>
      </c>
      <c r="H61" s="481" t="s">
        <v>177</v>
      </c>
    </row>
    <row r="62" spans="1:8" x14ac:dyDescent="0.2">
      <c r="A62" s="480" t="s">
        <v>315</v>
      </c>
      <c r="B62" s="479">
        <v>44888</v>
      </c>
      <c r="C62" s="481" t="s">
        <v>104</v>
      </c>
      <c r="D62" s="481">
        <v>3</v>
      </c>
      <c r="E62" s="481" t="s">
        <v>0</v>
      </c>
      <c r="F62" s="481">
        <v>0</v>
      </c>
      <c r="G62" s="481" t="s">
        <v>150</v>
      </c>
      <c r="H62" s="481" t="s">
        <v>177</v>
      </c>
    </row>
    <row r="63" spans="1:8" x14ac:dyDescent="0.2">
      <c r="A63" s="480" t="s">
        <v>308</v>
      </c>
      <c r="B63" s="479">
        <v>44888</v>
      </c>
      <c r="C63" s="481" t="s">
        <v>7</v>
      </c>
      <c r="D63" s="481">
        <v>3</v>
      </c>
      <c r="E63" s="481" t="s">
        <v>0</v>
      </c>
      <c r="F63" s="481">
        <v>0</v>
      </c>
      <c r="G63" s="481" t="s">
        <v>8</v>
      </c>
      <c r="H63" s="481" t="s">
        <v>184</v>
      </c>
    </row>
    <row r="64" spans="1:8" x14ac:dyDescent="0.2">
      <c r="A64" s="480" t="s">
        <v>309</v>
      </c>
      <c r="B64" s="479">
        <v>44888</v>
      </c>
      <c r="C64" s="481" t="s">
        <v>11</v>
      </c>
      <c r="D64" s="481">
        <v>4</v>
      </c>
      <c r="E64" s="481" t="s">
        <v>0</v>
      </c>
      <c r="F64" s="481">
        <v>1</v>
      </c>
      <c r="G64" s="481" t="s">
        <v>160</v>
      </c>
      <c r="H64" s="481" t="s">
        <v>184</v>
      </c>
    </row>
    <row r="65" spans="1:8" x14ac:dyDescent="0.2">
      <c r="A65" s="480" t="s">
        <v>314</v>
      </c>
      <c r="B65" s="479">
        <v>44888</v>
      </c>
      <c r="C65" s="481" t="s">
        <v>126</v>
      </c>
      <c r="D65" s="481">
        <v>0</v>
      </c>
      <c r="E65" s="481" t="s">
        <v>0</v>
      </c>
      <c r="F65" s="481">
        <v>2</v>
      </c>
      <c r="G65" s="481" t="s">
        <v>70</v>
      </c>
      <c r="H65" s="481" t="s">
        <v>184</v>
      </c>
    </row>
    <row r="66" spans="1:8" x14ac:dyDescent="0.2">
      <c r="A66" s="480" t="s">
        <v>315</v>
      </c>
      <c r="B66" s="479">
        <v>44888</v>
      </c>
      <c r="C66" s="481" t="s">
        <v>104</v>
      </c>
      <c r="D66" s="481">
        <v>3</v>
      </c>
      <c r="E66" s="481" t="s">
        <v>0</v>
      </c>
      <c r="F66" s="481">
        <v>1</v>
      </c>
      <c r="G66" s="481" t="s">
        <v>150</v>
      </c>
      <c r="H66" s="481" t="s">
        <v>184</v>
      </c>
    </row>
    <row r="67" spans="1:8" x14ac:dyDescent="0.2">
      <c r="A67" s="480" t="s">
        <v>308</v>
      </c>
      <c r="B67" s="479">
        <v>44888</v>
      </c>
      <c r="C67" s="481" t="s">
        <v>7</v>
      </c>
      <c r="D67" s="481">
        <v>2</v>
      </c>
      <c r="E67" s="481" t="s">
        <v>0</v>
      </c>
      <c r="F67" s="481">
        <v>1</v>
      </c>
      <c r="G67" s="481" t="s">
        <v>8</v>
      </c>
      <c r="H67" s="481" t="s">
        <v>227</v>
      </c>
    </row>
    <row r="68" spans="1:8" x14ac:dyDescent="0.2">
      <c r="A68" s="480" t="s">
        <v>309</v>
      </c>
      <c r="B68" s="479">
        <v>44888</v>
      </c>
      <c r="C68" s="481" t="s">
        <v>11</v>
      </c>
      <c r="D68" s="481">
        <v>2</v>
      </c>
      <c r="E68" s="481" t="s">
        <v>0</v>
      </c>
      <c r="F68" s="481">
        <v>0</v>
      </c>
      <c r="G68" s="481" t="s">
        <v>160</v>
      </c>
      <c r="H68" s="481" t="s">
        <v>227</v>
      </c>
    </row>
    <row r="69" spans="1:8" x14ac:dyDescent="0.2">
      <c r="A69" s="480" t="s">
        <v>314</v>
      </c>
      <c r="B69" s="479">
        <v>44888</v>
      </c>
      <c r="C69" s="481" t="s">
        <v>126</v>
      </c>
      <c r="D69" s="481">
        <v>1</v>
      </c>
      <c r="E69" s="481" t="s">
        <v>0</v>
      </c>
      <c r="F69" s="481">
        <v>0</v>
      </c>
      <c r="G69" s="481" t="s">
        <v>70</v>
      </c>
      <c r="H69" s="481" t="s">
        <v>227</v>
      </c>
    </row>
    <row r="70" spans="1:8" x14ac:dyDescent="0.2">
      <c r="A70" s="480" t="s">
        <v>315</v>
      </c>
      <c r="B70" s="479">
        <v>44888</v>
      </c>
      <c r="C70" s="481" t="s">
        <v>104</v>
      </c>
      <c r="D70" s="481">
        <v>3</v>
      </c>
      <c r="E70" s="481" t="s">
        <v>0</v>
      </c>
      <c r="F70" s="481">
        <v>0</v>
      </c>
      <c r="G70" s="481" t="s">
        <v>150</v>
      </c>
      <c r="H70" s="481" t="s">
        <v>227</v>
      </c>
    </row>
    <row r="71" spans="1:8" x14ac:dyDescent="0.2">
      <c r="A71" s="480" t="s">
        <v>308</v>
      </c>
      <c r="B71" s="479">
        <v>44888</v>
      </c>
      <c r="C71" s="481" t="s">
        <v>7</v>
      </c>
      <c r="D71" s="481">
        <v>4</v>
      </c>
      <c r="E71" s="481" t="s">
        <v>0</v>
      </c>
      <c r="F71" s="481">
        <v>1</v>
      </c>
      <c r="G71" s="481" t="s">
        <v>8</v>
      </c>
      <c r="H71" s="481" t="s">
        <v>183</v>
      </c>
    </row>
    <row r="72" spans="1:8" x14ac:dyDescent="0.2">
      <c r="A72" s="480" t="s">
        <v>309</v>
      </c>
      <c r="B72" s="479">
        <v>44888</v>
      </c>
      <c r="C72" s="481" t="s">
        <v>11</v>
      </c>
      <c r="D72" s="481">
        <v>2</v>
      </c>
      <c r="E72" s="481" t="s">
        <v>0</v>
      </c>
      <c r="F72" s="481">
        <v>1</v>
      </c>
      <c r="G72" s="481" t="s">
        <v>160</v>
      </c>
      <c r="H72" s="481" t="s">
        <v>183</v>
      </c>
    </row>
    <row r="73" spans="1:8" x14ac:dyDescent="0.2">
      <c r="A73" s="480" t="s">
        <v>314</v>
      </c>
      <c r="B73" s="479">
        <v>44888</v>
      </c>
      <c r="C73" s="481" t="s">
        <v>126</v>
      </c>
      <c r="D73" s="481">
        <v>0</v>
      </c>
      <c r="E73" s="481" t="s">
        <v>0</v>
      </c>
      <c r="F73" s="481">
        <v>2</v>
      </c>
      <c r="G73" s="481" t="s">
        <v>70</v>
      </c>
      <c r="H73" s="481" t="s">
        <v>183</v>
      </c>
    </row>
    <row r="74" spans="1:8" x14ac:dyDescent="0.2">
      <c r="A74" s="480" t="s">
        <v>315</v>
      </c>
      <c r="B74" s="479">
        <v>44888</v>
      </c>
      <c r="C74" s="481" t="s">
        <v>104</v>
      </c>
      <c r="D74" s="481">
        <v>3</v>
      </c>
      <c r="E74" s="481" t="s">
        <v>0</v>
      </c>
      <c r="F74" s="481">
        <v>0</v>
      </c>
      <c r="G74" s="481" t="s">
        <v>150</v>
      </c>
      <c r="H74" s="481" t="s">
        <v>183</v>
      </c>
    </row>
    <row r="75" spans="1:8" x14ac:dyDescent="0.2">
      <c r="A75" s="480" t="s">
        <v>308</v>
      </c>
      <c r="B75" s="479">
        <v>44888</v>
      </c>
      <c r="C75" s="481" t="s">
        <v>7</v>
      </c>
      <c r="D75" s="481">
        <v>1</v>
      </c>
      <c r="E75" s="481" t="s">
        <v>0</v>
      </c>
      <c r="F75" s="481">
        <v>0</v>
      </c>
      <c r="G75" s="481" t="s">
        <v>8</v>
      </c>
      <c r="H75" s="481" t="s">
        <v>185</v>
      </c>
    </row>
    <row r="76" spans="1:8" x14ac:dyDescent="0.2">
      <c r="A76" s="480" t="s">
        <v>309</v>
      </c>
      <c r="B76" s="479">
        <v>44888</v>
      </c>
      <c r="C76" s="481" t="s">
        <v>11</v>
      </c>
      <c r="D76" s="481">
        <v>2</v>
      </c>
      <c r="E76" s="481" t="s">
        <v>0</v>
      </c>
      <c r="F76" s="481">
        <v>0</v>
      </c>
      <c r="G76" s="481" t="s">
        <v>160</v>
      </c>
      <c r="H76" s="481" t="s">
        <v>185</v>
      </c>
    </row>
    <row r="77" spans="1:8" x14ac:dyDescent="0.2">
      <c r="A77" s="480" t="s">
        <v>314</v>
      </c>
      <c r="B77" s="479">
        <v>44888</v>
      </c>
      <c r="C77" s="481" t="s">
        <v>126</v>
      </c>
      <c r="D77" s="481">
        <v>1</v>
      </c>
      <c r="E77" s="481" t="s">
        <v>0</v>
      </c>
      <c r="F77" s="481">
        <v>1</v>
      </c>
      <c r="G77" s="481" t="s">
        <v>70</v>
      </c>
      <c r="H77" s="481" t="s">
        <v>185</v>
      </c>
    </row>
    <row r="78" spans="1:8" x14ac:dyDescent="0.2">
      <c r="A78" s="480" t="s">
        <v>315</v>
      </c>
      <c r="B78" s="479">
        <v>44888</v>
      </c>
      <c r="C78" s="481" t="s">
        <v>104</v>
      </c>
      <c r="D78" s="481">
        <v>2</v>
      </c>
      <c r="E78" s="481" t="s">
        <v>0</v>
      </c>
      <c r="F78" s="481">
        <v>0</v>
      </c>
      <c r="G78" s="481" t="s">
        <v>150</v>
      </c>
      <c r="H78" s="481" t="s">
        <v>185</v>
      </c>
    </row>
    <row r="79" spans="1:8" x14ac:dyDescent="0.2">
      <c r="A79" s="480" t="s">
        <v>308</v>
      </c>
      <c r="B79" s="479">
        <v>44888</v>
      </c>
      <c r="C79" s="481" t="s">
        <v>7</v>
      </c>
      <c r="D79" s="481">
        <v>2</v>
      </c>
      <c r="E79" s="481" t="s">
        <v>0</v>
      </c>
      <c r="F79" s="481">
        <v>0</v>
      </c>
      <c r="G79" s="481" t="s">
        <v>8</v>
      </c>
      <c r="H79" s="481" t="s">
        <v>332</v>
      </c>
    </row>
    <row r="80" spans="1:8" x14ac:dyDescent="0.2">
      <c r="A80" s="480" t="s">
        <v>309</v>
      </c>
      <c r="B80" s="479">
        <v>44888</v>
      </c>
      <c r="C80" s="481" t="s">
        <v>11</v>
      </c>
      <c r="D80" s="481">
        <v>2</v>
      </c>
      <c r="E80" s="481" t="s">
        <v>0</v>
      </c>
      <c r="F80" s="481">
        <v>0</v>
      </c>
      <c r="G80" s="481" t="s">
        <v>160</v>
      </c>
      <c r="H80" s="481" t="s">
        <v>332</v>
      </c>
    </row>
    <row r="81" spans="1:8" x14ac:dyDescent="0.2">
      <c r="A81" s="480" t="s">
        <v>314</v>
      </c>
      <c r="B81" s="479">
        <v>44888</v>
      </c>
      <c r="C81" s="481" t="s">
        <v>126</v>
      </c>
      <c r="D81" s="481">
        <v>0</v>
      </c>
      <c r="E81" s="481" t="s">
        <v>0</v>
      </c>
      <c r="F81" s="481">
        <v>2</v>
      </c>
      <c r="G81" s="481" t="s">
        <v>70</v>
      </c>
      <c r="H81" s="481" t="s">
        <v>332</v>
      </c>
    </row>
    <row r="82" spans="1:8" x14ac:dyDescent="0.2">
      <c r="A82" s="480" t="s">
        <v>315</v>
      </c>
      <c r="B82" s="479">
        <v>44888</v>
      </c>
      <c r="C82" s="481" t="s">
        <v>104</v>
      </c>
      <c r="D82" s="481">
        <v>2</v>
      </c>
      <c r="E82" s="481" t="s">
        <v>0</v>
      </c>
      <c r="F82" s="481">
        <v>0</v>
      </c>
      <c r="G82" s="481" t="s">
        <v>150</v>
      </c>
      <c r="H82" s="481" t="s">
        <v>332</v>
      </c>
    </row>
    <row r="83" spans="1:8" x14ac:dyDescent="0.2">
      <c r="A83" s="480" t="s">
        <v>308</v>
      </c>
      <c r="B83" s="479">
        <v>44888</v>
      </c>
      <c r="C83" s="483" t="s">
        <v>7</v>
      </c>
      <c r="D83" s="483">
        <v>2</v>
      </c>
      <c r="E83" s="483" t="s">
        <v>0</v>
      </c>
      <c r="F83" s="483">
        <v>1</v>
      </c>
      <c r="G83" s="483" t="s">
        <v>8</v>
      </c>
      <c r="H83" s="481" t="s">
        <v>182</v>
      </c>
    </row>
    <row r="84" spans="1:8" x14ac:dyDescent="0.2">
      <c r="A84" s="480" t="s">
        <v>309</v>
      </c>
      <c r="B84" s="479">
        <v>44888</v>
      </c>
      <c r="C84" s="483" t="s">
        <v>11</v>
      </c>
      <c r="D84" s="483">
        <v>1</v>
      </c>
      <c r="E84" s="483" t="s">
        <v>0</v>
      </c>
      <c r="F84" s="483">
        <v>0</v>
      </c>
      <c r="G84" s="483" t="s">
        <v>160</v>
      </c>
      <c r="H84" s="481" t="s">
        <v>182</v>
      </c>
    </row>
    <row r="85" spans="1:8" x14ac:dyDescent="0.2">
      <c r="A85" s="480" t="s">
        <v>314</v>
      </c>
      <c r="B85" s="479">
        <v>44888</v>
      </c>
      <c r="C85" s="483" t="s">
        <v>126</v>
      </c>
      <c r="D85" s="483">
        <v>0</v>
      </c>
      <c r="E85" s="483" t="s">
        <v>0</v>
      </c>
      <c r="F85" s="483">
        <v>0</v>
      </c>
      <c r="G85" s="483" t="s">
        <v>70</v>
      </c>
      <c r="H85" s="481" t="s">
        <v>182</v>
      </c>
    </row>
    <row r="86" spans="1:8" x14ac:dyDescent="0.2">
      <c r="A86" s="480" t="s">
        <v>315</v>
      </c>
      <c r="B86" s="479">
        <v>44888</v>
      </c>
      <c r="C86" s="483" t="s">
        <v>104</v>
      </c>
      <c r="D86" s="483">
        <v>1</v>
      </c>
      <c r="E86" s="483" t="s">
        <v>0</v>
      </c>
      <c r="F86" s="483">
        <v>0</v>
      </c>
      <c r="G86" s="483" t="s">
        <v>150</v>
      </c>
      <c r="H86" s="481" t="s">
        <v>182</v>
      </c>
    </row>
    <row r="87" spans="1:8" x14ac:dyDescent="0.2">
      <c r="A87" s="480" t="s">
        <v>320</v>
      </c>
      <c r="B87" s="479">
        <v>44889</v>
      </c>
      <c r="C87" s="481" t="s">
        <v>12</v>
      </c>
      <c r="D87" s="481">
        <v>2</v>
      </c>
      <c r="E87" s="481" t="s">
        <v>0</v>
      </c>
      <c r="F87" s="481">
        <v>0</v>
      </c>
      <c r="G87" s="481" t="s">
        <v>151</v>
      </c>
      <c r="H87" s="481" t="s">
        <v>176</v>
      </c>
    </row>
    <row r="88" spans="1:8" x14ac:dyDescent="0.2">
      <c r="A88" s="480" t="s">
        <v>321</v>
      </c>
      <c r="B88" s="479">
        <v>44889</v>
      </c>
      <c r="C88" s="481" t="s">
        <v>10</v>
      </c>
      <c r="D88" s="481">
        <v>3</v>
      </c>
      <c r="E88" s="481" t="s">
        <v>0</v>
      </c>
      <c r="F88" s="481">
        <v>0</v>
      </c>
      <c r="G88" s="481" t="s">
        <v>128</v>
      </c>
      <c r="H88" s="481" t="s">
        <v>176</v>
      </c>
    </row>
    <row r="89" spans="1:8" x14ac:dyDescent="0.2">
      <c r="A89" s="480" t="s">
        <v>326</v>
      </c>
      <c r="B89" s="479">
        <v>44889</v>
      </c>
      <c r="C89" s="481" t="s">
        <v>2</v>
      </c>
      <c r="D89" s="481">
        <v>2</v>
      </c>
      <c r="E89" s="481" t="s">
        <v>0</v>
      </c>
      <c r="F89" s="481">
        <v>1</v>
      </c>
      <c r="G89" s="481" t="s">
        <v>5</v>
      </c>
      <c r="H89" s="481" t="s">
        <v>176</v>
      </c>
    </row>
    <row r="90" spans="1:8" x14ac:dyDescent="0.2">
      <c r="A90" s="480" t="s">
        <v>327</v>
      </c>
      <c r="B90" s="479">
        <v>44889</v>
      </c>
      <c r="C90" s="481" t="s">
        <v>9</v>
      </c>
      <c r="D90" s="481">
        <v>2</v>
      </c>
      <c r="E90" s="481" t="s">
        <v>0</v>
      </c>
      <c r="F90" s="481">
        <v>0</v>
      </c>
      <c r="G90" s="481" t="s">
        <v>152</v>
      </c>
      <c r="H90" s="481" t="s">
        <v>176</v>
      </c>
    </row>
    <row r="91" spans="1:8" x14ac:dyDescent="0.2">
      <c r="A91" s="480" t="s">
        <v>320</v>
      </c>
      <c r="B91" s="479">
        <v>44889</v>
      </c>
      <c r="C91" s="481" t="s">
        <v>12</v>
      </c>
      <c r="D91" s="481">
        <v>2</v>
      </c>
      <c r="E91" s="481" t="s">
        <v>0</v>
      </c>
      <c r="F91" s="481">
        <v>1</v>
      </c>
      <c r="G91" s="481" t="s">
        <v>151</v>
      </c>
      <c r="H91" s="481" t="s">
        <v>226</v>
      </c>
    </row>
    <row r="92" spans="1:8" x14ac:dyDescent="0.2">
      <c r="A92" s="480" t="s">
        <v>321</v>
      </c>
      <c r="B92" s="479">
        <v>44889</v>
      </c>
      <c r="C92" s="481" t="s">
        <v>10</v>
      </c>
      <c r="D92" s="481">
        <v>2</v>
      </c>
      <c r="E92" s="481" t="s">
        <v>0</v>
      </c>
      <c r="F92" s="481">
        <v>0</v>
      </c>
      <c r="G92" s="481" t="s">
        <v>128</v>
      </c>
      <c r="H92" s="481" t="s">
        <v>226</v>
      </c>
    </row>
    <row r="93" spans="1:8" x14ac:dyDescent="0.2">
      <c r="A93" s="480" t="s">
        <v>326</v>
      </c>
      <c r="B93" s="479">
        <v>44889</v>
      </c>
      <c r="C93" s="481" t="s">
        <v>2</v>
      </c>
      <c r="D93" s="481">
        <v>2</v>
      </c>
      <c r="E93" s="481" t="s">
        <v>0</v>
      </c>
      <c r="F93" s="481">
        <v>0</v>
      </c>
      <c r="G93" s="481" t="s">
        <v>5</v>
      </c>
      <c r="H93" s="481" t="s">
        <v>226</v>
      </c>
    </row>
    <row r="94" spans="1:8" x14ac:dyDescent="0.2">
      <c r="A94" s="480" t="s">
        <v>327</v>
      </c>
      <c r="B94" s="479">
        <v>44889</v>
      </c>
      <c r="C94" s="481" t="s">
        <v>9</v>
      </c>
      <c r="D94" s="481">
        <v>2</v>
      </c>
      <c r="E94" s="481" t="s">
        <v>0</v>
      </c>
      <c r="F94" s="481">
        <v>1</v>
      </c>
      <c r="G94" s="481" t="s">
        <v>152</v>
      </c>
      <c r="H94" s="481" t="s">
        <v>226</v>
      </c>
    </row>
    <row r="95" spans="1:8" x14ac:dyDescent="0.2">
      <c r="A95" s="480" t="s">
        <v>320</v>
      </c>
      <c r="B95" s="479">
        <v>44889</v>
      </c>
      <c r="C95" s="481" t="s">
        <v>12</v>
      </c>
      <c r="D95" s="481">
        <v>1</v>
      </c>
      <c r="E95" s="481" t="s">
        <v>0</v>
      </c>
      <c r="F95" s="481">
        <v>2</v>
      </c>
      <c r="G95" s="481" t="s">
        <v>151</v>
      </c>
      <c r="H95" s="481" t="s">
        <v>228</v>
      </c>
    </row>
    <row r="96" spans="1:8" x14ac:dyDescent="0.2">
      <c r="A96" s="480" t="s">
        <v>321</v>
      </c>
      <c r="B96" s="479">
        <v>44889</v>
      </c>
      <c r="C96" s="481" t="s">
        <v>10</v>
      </c>
      <c r="D96" s="481">
        <v>2</v>
      </c>
      <c r="E96" s="481" t="s">
        <v>0</v>
      </c>
      <c r="F96" s="481">
        <v>0</v>
      </c>
      <c r="G96" s="481" t="s">
        <v>128</v>
      </c>
      <c r="H96" s="481" t="s">
        <v>228</v>
      </c>
    </row>
    <row r="97" spans="1:8" x14ac:dyDescent="0.2">
      <c r="A97" s="480" t="s">
        <v>326</v>
      </c>
      <c r="B97" s="479">
        <v>44889</v>
      </c>
      <c r="C97" s="481" t="s">
        <v>2</v>
      </c>
      <c r="D97" s="481">
        <v>2</v>
      </c>
      <c r="E97" s="481" t="s">
        <v>0</v>
      </c>
      <c r="F97" s="481">
        <v>0</v>
      </c>
      <c r="G97" s="481" t="s">
        <v>5</v>
      </c>
      <c r="H97" s="481" t="s">
        <v>228</v>
      </c>
    </row>
    <row r="98" spans="1:8" x14ac:dyDescent="0.2">
      <c r="A98" s="480" t="s">
        <v>327</v>
      </c>
      <c r="B98" s="479">
        <v>44889</v>
      </c>
      <c r="C98" s="481" t="s">
        <v>9</v>
      </c>
      <c r="D98" s="481">
        <v>2</v>
      </c>
      <c r="E98" s="481" t="s">
        <v>0</v>
      </c>
      <c r="F98" s="481">
        <v>1</v>
      </c>
      <c r="G98" s="481" t="s">
        <v>152</v>
      </c>
      <c r="H98" s="481" t="s">
        <v>228</v>
      </c>
    </row>
    <row r="99" spans="1:8" x14ac:dyDescent="0.2">
      <c r="A99" s="480" t="s">
        <v>320</v>
      </c>
      <c r="B99" s="479">
        <v>44889</v>
      </c>
      <c r="C99" s="481" t="s">
        <v>12</v>
      </c>
      <c r="D99" s="481">
        <v>2</v>
      </c>
      <c r="E99" s="481" t="s">
        <v>0</v>
      </c>
      <c r="F99" s="481">
        <v>2</v>
      </c>
      <c r="G99" s="481" t="s">
        <v>151</v>
      </c>
      <c r="H99" s="481" t="s">
        <v>179</v>
      </c>
    </row>
    <row r="100" spans="1:8" x14ac:dyDescent="0.2">
      <c r="A100" s="480" t="s">
        <v>321</v>
      </c>
      <c r="B100" s="479">
        <v>44889</v>
      </c>
      <c r="C100" s="481" t="s">
        <v>10</v>
      </c>
      <c r="D100" s="481">
        <v>3</v>
      </c>
      <c r="E100" s="481" t="s">
        <v>0</v>
      </c>
      <c r="F100" s="481">
        <v>1</v>
      </c>
      <c r="G100" s="481" t="s">
        <v>128</v>
      </c>
      <c r="H100" s="481" t="s">
        <v>179</v>
      </c>
    </row>
    <row r="101" spans="1:8" x14ac:dyDescent="0.2">
      <c r="A101" s="480" t="s">
        <v>326</v>
      </c>
      <c r="B101" s="479">
        <v>44889</v>
      </c>
      <c r="C101" s="481" t="s">
        <v>2</v>
      </c>
      <c r="D101" s="481">
        <v>1</v>
      </c>
      <c r="E101" s="481" t="s">
        <v>0</v>
      </c>
      <c r="F101" s="481">
        <v>0</v>
      </c>
      <c r="G101" s="481" t="s">
        <v>5</v>
      </c>
      <c r="H101" s="481" t="s">
        <v>179</v>
      </c>
    </row>
    <row r="102" spans="1:8" x14ac:dyDescent="0.2">
      <c r="A102" s="480" t="s">
        <v>327</v>
      </c>
      <c r="B102" s="479">
        <v>44889</v>
      </c>
      <c r="C102" s="481" t="s">
        <v>9</v>
      </c>
      <c r="D102" s="481">
        <v>2</v>
      </c>
      <c r="E102" s="481" t="s">
        <v>0</v>
      </c>
      <c r="F102" s="481">
        <v>0</v>
      </c>
      <c r="G102" s="481" t="s">
        <v>152</v>
      </c>
      <c r="H102" s="481" t="s">
        <v>179</v>
      </c>
    </row>
    <row r="103" spans="1:8" x14ac:dyDescent="0.2">
      <c r="A103" s="480" t="s">
        <v>320</v>
      </c>
      <c r="B103" s="479">
        <v>44889</v>
      </c>
      <c r="C103" s="481" t="s">
        <v>12</v>
      </c>
      <c r="D103" s="481">
        <v>3</v>
      </c>
      <c r="E103" s="481" t="s">
        <v>0</v>
      </c>
      <c r="F103" s="481">
        <v>2</v>
      </c>
      <c r="G103" s="481" t="s">
        <v>151</v>
      </c>
      <c r="H103" s="481" t="s">
        <v>223</v>
      </c>
    </row>
    <row r="104" spans="1:8" x14ac:dyDescent="0.2">
      <c r="A104" s="480" t="s">
        <v>321</v>
      </c>
      <c r="B104" s="479">
        <v>44889</v>
      </c>
      <c r="C104" s="481" t="s">
        <v>10</v>
      </c>
      <c r="D104" s="481">
        <v>3</v>
      </c>
      <c r="E104" s="481" t="s">
        <v>0</v>
      </c>
      <c r="F104" s="481">
        <v>1</v>
      </c>
      <c r="G104" s="481" t="s">
        <v>128</v>
      </c>
      <c r="H104" s="481" t="s">
        <v>223</v>
      </c>
    </row>
    <row r="105" spans="1:8" x14ac:dyDescent="0.2">
      <c r="A105" s="480" t="s">
        <v>326</v>
      </c>
      <c r="B105" s="479">
        <v>44889</v>
      </c>
      <c r="C105" s="481" t="s">
        <v>2</v>
      </c>
      <c r="D105" s="481">
        <v>3</v>
      </c>
      <c r="E105" s="481" t="s">
        <v>0</v>
      </c>
      <c r="F105" s="481">
        <v>0</v>
      </c>
      <c r="G105" s="481" t="s">
        <v>5</v>
      </c>
      <c r="H105" s="481" t="s">
        <v>223</v>
      </c>
    </row>
    <row r="106" spans="1:8" x14ac:dyDescent="0.2">
      <c r="A106" s="480" t="s">
        <v>327</v>
      </c>
      <c r="B106" s="479">
        <v>44889</v>
      </c>
      <c r="C106" s="481" t="s">
        <v>9</v>
      </c>
      <c r="D106" s="481">
        <v>3</v>
      </c>
      <c r="E106" s="481" t="s">
        <v>0</v>
      </c>
      <c r="F106" s="481">
        <v>2</v>
      </c>
      <c r="G106" s="481" t="s">
        <v>152</v>
      </c>
      <c r="H106" s="481" t="s">
        <v>223</v>
      </c>
    </row>
    <row r="107" spans="1:8" x14ac:dyDescent="0.2">
      <c r="A107" s="480" t="s">
        <v>320</v>
      </c>
      <c r="B107" s="479">
        <v>44889</v>
      </c>
      <c r="C107" s="481" t="s">
        <v>12</v>
      </c>
      <c r="D107" s="481">
        <v>1</v>
      </c>
      <c r="E107" s="481" t="s">
        <v>0</v>
      </c>
      <c r="F107" s="481">
        <v>0</v>
      </c>
      <c r="G107" s="481" t="s">
        <v>151</v>
      </c>
      <c r="H107" s="481" t="s">
        <v>186</v>
      </c>
    </row>
    <row r="108" spans="1:8" x14ac:dyDescent="0.2">
      <c r="A108" s="480" t="s">
        <v>321</v>
      </c>
      <c r="B108" s="479">
        <v>44889</v>
      </c>
      <c r="C108" s="481" t="s">
        <v>10</v>
      </c>
      <c r="D108" s="481">
        <v>2</v>
      </c>
      <c r="E108" s="481" t="s">
        <v>0</v>
      </c>
      <c r="F108" s="481">
        <v>1</v>
      </c>
      <c r="G108" s="481" t="s">
        <v>128</v>
      </c>
      <c r="H108" s="481" t="s">
        <v>186</v>
      </c>
    </row>
    <row r="109" spans="1:8" x14ac:dyDescent="0.2">
      <c r="A109" s="480" t="s">
        <v>326</v>
      </c>
      <c r="B109" s="479">
        <v>44889</v>
      </c>
      <c r="C109" s="481" t="s">
        <v>2</v>
      </c>
      <c r="D109" s="481">
        <v>1</v>
      </c>
      <c r="E109" s="481" t="s">
        <v>0</v>
      </c>
      <c r="F109" s="481">
        <v>0</v>
      </c>
      <c r="G109" s="481" t="s">
        <v>5</v>
      </c>
      <c r="H109" s="481" t="s">
        <v>186</v>
      </c>
    </row>
    <row r="110" spans="1:8" x14ac:dyDescent="0.2">
      <c r="A110" s="480" t="s">
        <v>327</v>
      </c>
      <c r="B110" s="479">
        <v>44889</v>
      </c>
      <c r="C110" s="481" t="s">
        <v>9</v>
      </c>
      <c r="D110" s="481">
        <v>2</v>
      </c>
      <c r="E110" s="481" t="s">
        <v>0</v>
      </c>
      <c r="F110" s="481">
        <v>0</v>
      </c>
      <c r="G110" s="481" t="s">
        <v>152</v>
      </c>
      <c r="H110" s="481" t="s">
        <v>186</v>
      </c>
    </row>
    <row r="111" spans="1:8" x14ac:dyDescent="0.2">
      <c r="A111" s="480" t="s">
        <v>320</v>
      </c>
      <c r="B111" s="479">
        <v>44889</v>
      </c>
      <c r="C111" s="481" t="s">
        <v>12</v>
      </c>
      <c r="D111" s="481">
        <v>2</v>
      </c>
      <c r="E111" s="481" t="s">
        <v>0</v>
      </c>
      <c r="F111" s="481">
        <v>0</v>
      </c>
      <c r="G111" s="481" t="s">
        <v>151</v>
      </c>
      <c r="H111" s="481" t="s">
        <v>180</v>
      </c>
    </row>
    <row r="112" spans="1:8" x14ac:dyDescent="0.2">
      <c r="A112" s="480" t="s">
        <v>321</v>
      </c>
      <c r="B112" s="479">
        <v>44889</v>
      </c>
      <c r="C112" s="481" t="s">
        <v>10</v>
      </c>
      <c r="D112" s="481">
        <v>2</v>
      </c>
      <c r="E112" s="481" t="s">
        <v>0</v>
      </c>
      <c r="F112" s="481">
        <v>1</v>
      </c>
      <c r="G112" s="481" t="s">
        <v>128</v>
      </c>
      <c r="H112" s="481" t="s">
        <v>180</v>
      </c>
    </row>
    <row r="113" spans="1:8" x14ac:dyDescent="0.2">
      <c r="A113" s="480" t="s">
        <v>326</v>
      </c>
      <c r="B113" s="479">
        <v>44889</v>
      </c>
      <c r="C113" s="481" t="s">
        <v>2</v>
      </c>
      <c r="D113" s="481">
        <v>2</v>
      </c>
      <c r="E113" s="481" t="s">
        <v>0</v>
      </c>
      <c r="F113" s="481">
        <v>1</v>
      </c>
      <c r="G113" s="481" t="s">
        <v>5</v>
      </c>
      <c r="H113" s="481" t="s">
        <v>180</v>
      </c>
    </row>
    <row r="114" spans="1:8" x14ac:dyDescent="0.2">
      <c r="A114" s="480" t="s">
        <v>327</v>
      </c>
      <c r="B114" s="479">
        <v>44889</v>
      </c>
      <c r="C114" s="481" t="s">
        <v>9</v>
      </c>
      <c r="D114" s="481">
        <v>3</v>
      </c>
      <c r="E114" s="481" t="s">
        <v>0</v>
      </c>
      <c r="F114" s="481">
        <v>1</v>
      </c>
      <c r="G114" s="481" t="s">
        <v>152</v>
      </c>
      <c r="H114" s="481" t="s">
        <v>180</v>
      </c>
    </row>
    <row r="115" spans="1:8" x14ac:dyDescent="0.2">
      <c r="A115" s="480" t="s">
        <v>320</v>
      </c>
      <c r="B115" s="479">
        <v>44889</v>
      </c>
      <c r="C115" s="481" t="s">
        <v>12</v>
      </c>
      <c r="D115" s="481">
        <v>1</v>
      </c>
      <c r="E115" s="481" t="s">
        <v>0</v>
      </c>
      <c r="F115" s="481">
        <v>1</v>
      </c>
      <c r="G115" s="481" t="s">
        <v>151</v>
      </c>
      <c r="H115" s="481" t="s">
        <v>225</v>
      </c>
    </row>
    <row r="116" spans="1:8" x14ac:dyDescent="0.2">
      <c r="A116" s="480" t="s">
        <v>321</v>
      </c>
      <c r="B116" s="479">
        <v>44889</v>
      </c>
      <c r="C116" s="481" t="s">
        <v>10</v>
      </c>
      <c r="D116" s="481">
        <v>2</v>
      </c>
      <c r="E116" s="481" t="s">
        <v>0</v>
      </c>
      <c r="F116" s="481">
        <v>1</v>
      </c>
      <c r="G116" s="481" t="s">
        <v>128</v>
      </c>
      <c r="H116" s="481" t="s">
        <v>225</v>
      </c>
    </row>
    <row r="117" spans="1:8" x14ac:dyDescent="0.2">
      <c r="A117" s="480" t="s">
        <v>326</v>
      </c>
      <c r="B117" s="479">
        <v>44889</v>
      </c>
      <c r="C117" s="481" t="s">
        <v>2</v>
      </c>
      <c r="D117" s="481">
        <v>1</v>
      </c>
      <c r="E117" s="481" t="s">
        <v>0</v>
      </c>
      <c r="F117" s="481">
        <v>1</v>
      </c>
      <c r="G117" s="481" t="s">
        <v>5</v>
      </c>
      <c r="H117" s="481" t="s">
        <v>225</v>
      </c>
    </row>
    <row r="118" spans="1:8" x14ac:dyDescent="0.2">
      <c r="A118" s="480" t="s">
        <v>327</v>
      </c>
      <c r="B118" s="479">
        <v>44889</v>
      </c>
      <c r="C118" s="481" t="s">
        <v>9</v>
      </c>
      <c r="D118" s="481">
        <v>1</v>
      </c>
      <c r="E118" s="481" t="s">
        <v>0</v>
      </c>
      <c r="F118" s="481">
        <v>0</v>
      </c>
      <c r="G118" s="481" t="s">
        <v>152</v>
      </c>
      <c r="H118" s="481" t="s">
        <v>225</v>
      </c>
    </row>
    <row r="119" spans="1:8" x14ac:dyDescent="0.2">
      <c r="A119" s="480" t="s">
        <v>320</v>
      </c>
      <c r="B119" s="479">
        <v>44889</v>
      </c>
      <c r="C119" s="481" t="s">
        <v>12</v>
      </c>
      <c r="D119" s="481">
        <v>2</v>
      </c>
      <c r="E119" s="481" t="s">
        <v>0</v>
      </c>
      <c r="F119" s="481">
        <v>1</v>
      </c>
      <c r="G119" s="481" t="s">
        <v>151</v>
      </c>
      <c r="H119" s="481" t="s">
        <v>224</v>
      </c>
    </row>
    <row r="120" spans="1:8" x14ac:dyDescent="0.2">
      <c r="A120" s="480" t="s">
        <v>321</v>
      </c>
      <c r="B120" s="479">
        <v>44889</v>
      </c>
      <c r="C120" s="481" t="s">
        <v>10</v>
      </c>
      <c r="D120" s="481">
        <v>1</v>
      </c>
      <c r="E120" s="481" t="s">
        <v>0</v>
      </c>
      <c r="F120" s="481">
        <v>0</v>
      </c>
      <c r="G120" s="481" t="s">
        <v>128</v>
      </c>
      <c r="H120" s="481" t="s">
        <v>224</v>
      </c>
    </row>
    <row r="121" spans="1:8" x14ac:dyDescent="0.2">
      <c r="A121" s="480" t="s">
        <v>326</v>
      </c>
      <c r="B121" s="479">
        <v>44889</v>
      </c>
      <c r="C121" s="481" t="s">
        <v>2</v>
      </c>
      <c r="D121" s="481">
        <v>3</v>
      </c>
      <c r="E121" s="481" t="s">
        <v>0</v>
      </c>
      <c r="F121" s="481">
        <v>1</v>
      </c>
      <c r="G121" s="481" t="s">
        <v>5</v>
      </c>
      <c r="H121" s="481" t="s">
        <v>224</v>
      </c>
    </row>
    <row r="122" spans="1:8" x14ac:dyDescent="0.2">
      <c r="A122" s="480" t="s">
        <v>327</v>
      </c>
      <c r="B122" s="479">
        <v>44889</v>
      </c>
      <c r="C122" s="481" t="s">
        <v>9</v>
      </c>
      <c r="D122" s="481">
        <v>2</v>
      </c>
      <c r="E122" s="481" t="s">
        <v>0</v>
      </c>
      <c r="F122" s="481">
        <v>0</v>
      </c>
      <c r="G122" s="481" t="s">
        <v>152</v>
      </c>
      <c r="H122" s="481" t="s">
        <v>224</v>
      </c>
    </row>
    <row r="123" spans="1:8" x14ac:dyDescent="0.2">
      <c r="A123" s="480" t="s">
        <v>320</v>
      </c>
      <c r="B123" s="479">
        <v>44889</v>
      </c>
      <c r="C123" s="481" t="s">
        <v>12</v>
      </c>
      <c r="D123" s="481">
        <v>2</v>
      </c>
      <c r="E123" s="481" t="s">
        <v>0</v>
      </c>
      <c r="F123" s="481">
        <v>0</v>
      </c>
      <c r="G123" s="481" t="s">
        <v>151</v>
      </c>
      <c r="H123" s="481" t="s">
        <v>181</v>
      </c>
    </row>
    <row r="124" spans="1:8" x14ac:dyDescent="0.2">
      <c r="A124" s="480" t="s">
        <v>321</v>
      </c>
      <c r="B124" s="479">
        <v>44889</v>
      </c>
      <c r="C124" s="481" t="s">
        <v>10</v>
      </c>
      <c r="D124" s="481">
        <v>2</v>
      </c>
      <c r="E124" s="481" t="s">
        <v>0</v>
      </c>
      <c r="F124" s="481">
        <v>0</v>
      </c>
      <c r="G124" s="481" t="s">
        <v>128</v>
      </c>
      <c r="H124" s="481" t="s">
        <v>181</v>
      </c>
    </row>
    <row r="125" spans="1:8" x14ac:dyDescent="0.2">
      <c r="A125" s="480" t="s">
        <v>326</v>
      </c>
      <c r="B125" s="479">
        <v>44889</v>
      </c>
      <c r="C125" s="481" t="s">
        <v>2</v>
      </c>
      <c r="D125" s="481">
        <v>1</v>
      </c>
      <c r="E125" s="481" t="s">
        <v>0</v>
      </c>
      <c r="F125" s="481">
        <v>0</v>
      </c>
      <c r="G125" s="481" t="s">
        <v>5</v>
      </c>
      <c r="H125" s="481" t="s">
        <v>181</v>
      </c>
    </row>
    <row r="126" spans="1:8" x14ac:dyDescent="0.2">
      <c r="A126" s="480" t="s">
        <v>327</v>
      </c>
      <c r="B126" s="479">
        <v>44889</v>
      </c>
      <c r="C126" s="481" t="s">
        <v>9</v>
      </c>
      <c r="D126" s="481">
        <v>2</v>
      </c>
      <c r="E126" s="481" t="s">
        <v>0</v>
      </c>
      <c r="F126" s="481">
        <v>0</v>
      </c>
      <c r="G126" s="481" t="s">
        <v>152</v>
      </c>
      <c r="H126" s="481" t="s">
        <v>181</v>
      </c>
    </row>
    <row r="127" spans="1:8" x14ac:dyDescent="0.2">
      <c r="A127" s="480" t="s">
        <v>320</v>
      </c>
      <c r="B127" s="479">
        <v>44889</v>
      </c>
      <c r="C127" s="481" t="s">
        <v>12</v>
      </c>
      <c r="D127" s="481">
        <v>1</v>
      </c>
      <c r="E127" s="481" t="s">
        <v>0</v>
      </c>
      <c r="F127" s="481">
        <v>0</v>
      </c>
      <c r="G127" s="481" t="s">
        <v>151</v>
      </c>
      <c r="H127" s="481" t="s">
        <v>177</v>
      </c>
    </row>
    <row r="128" spans="1:8" x14ac:dyDescent="0.2">
      <c r="A128" s="480" t="s">
        <v>321</v>
      </c>
      <c r="B128" s="479">
        <v>44889</v>
      </c>
      <c r="C128" s="481" t="s">
        <v>10</v>
      </c>
      <c r="D128" s="481">
        <v>2</v>
      </c>
      <c r="E128" s="481" t="s">
        <v>0</v>
      </c>
      <c r="F128" s="481">
        <v>2</v>
      </c>
      <c r="G128" s="481" t="s">
        <v>128</v>
      </c>
      <c r="H128" s="481" t="s">
        <v>177</v>
      </c>
    </row>
    <row r="129" spans="1:8" x14ac:dyDescent="0.2">
      <c r="A129" s="480" t="s">
        <v>326</v>
      </c>
      <c r="B129" s="479">
        <v>44889</v>
      </c>
      <c r="C129" s="481" t="s">
        <v>2</v>
      </c>
      <c r="D129" s="481">
        <v>2</v>
      </c>
      <c r="E129" s="481" t="s">
        <v>0</v>
      </c>
      <c r="F129" s="481">
        <v>0</v>
      </c>
      <c r="G129" s="481" t="s">
        <v>5</v>
      </c>
      <c r="H129" s="481" t="s">
        <v>177</v>
      </c>
    </row>
    <row r="130" spans="1:8" x14ac:dyDescent="0.2">
      <c r="A130" s="480" t="s">
        <v>327</v>
      </c>
      <c r="B130" s="479">
        <v>44889</v>
      </c>
      <c r="C130" s="481" t="s">
        <v>9</v>
      </c>
      <c r="D130" s="481">
        <v>2</v>
      </c>
      <c r="E130" s="481" t="s">
        <v>0</v>
      </c>
      <c r="F130" s="481">
        <v>1</v>
      </c>
      <c r="G130" s="481" t="s">
        <v>152</v>
      </c>
      <c r="H130" s="481" t="s">
        <v>177</v>
      </c>
    </row>
    <row r="131" spans="1:8" x14ac:dyDescent="0.2">
      <c r="A131" s="480" t="s">
        <v>320</v>
      </c>
      <c r="B131" s="479">
        <v>44889</v>
      </c>
      <c r="C131" s="481" t="s">
        <v>12</v>
      </c>
      <c r="D131" s="481">
        <v>1</v>
      </c>
      <c r="E131" s="481" t="s">
        <v>0</v>
      </c>
      <c r="F131" s="481">
        <v>0</v>
      </c>
      <c r="G131" s="481" t="s">
        <v>151</v>
      </c>
      <c r="H131" s="481" t="s">
        <v>184</v>
      </c>
    </row>
    <row r="132" spans="1:8" x14ac:dyDescent="0.2">
      <c r="A132" s="480" t="s">
        <v>321</v>
      </c>
      <c r="B132" s="479">
        <v>44889</v>
      </c>
      <c r="C132" s="481" t="s">
        <v>10</v>
      </c>
      <c r="D132" s="481">
        <v>3</v>
      </c>
      <c r="E132" s="481" t="s">
        <v>0</v>
      </c>
      <c r="F132" s="481">
        <v>0</v>
      </c>
      <c r="G132" s="481" t="s">
        <v>128</v>
      </c>
      <c r="H132" s="481" t="s">
        <v>184</v>
      </c>
    </row>
    <row r="133" spans="1:8" x14ac:dyDescent="0.2">
      <c r="A133" s="480" t="s">
        <v>326</v>
      </c>
      <c r="B133" s="479">
        <v>44889</v>
      </c>
      <c r="C133" s="481" t="s">
        <v>2</v>
      </c>
      <c r="D133" s="481">
        <v>2</v>
      </c>
      <c r="E133" s="481" t="s">
        <v>0</v>
      </c>
      <c r="F133" s="481">
        <v>0</v>
      </c>
      <c r="G133" s="481" t="s">
        <v>5</v>
      </c>
      <c r="H133" s="481" t="s">
        <v>184</v>
      </c>
    </row>
    <row r="134" spans="1:8" x14ac:dyDescent="0.2">
      <c r="A134" s="480" t="s">
        <v>327</v>
      </c>
      <c r="B134" s="479">
        <v>44889</v>
      </c>
      <c r="C134" s="481" t="s">
        <v>9</v>
      </c>
      <c r="D134" s="481">
        <v>3</v>
      </c>
      <c r="E134" s="481" t="s">
        <v>0</v>
      </c>
      <c r="F134" s="481">
        <v>0</v>
      </c>
      <c r="G134" s="481" t="s">
        <v>152</v>
      </c>
      <c r="H134" s="481" t="s">
        <v>184</v>
      </c>
    </row>
    <row r="135" spans="1:8" x14ac:dyDescent="0.2">
      <c r="A135" s="480" t="s">
        <v>320</v>
      </c>
      <c r="B135" s="479">
        <v>44889</v>
      </c>
      <c r="C135" s="481" t="s">
        <v>12</v>
      </c>
      <c r="D135" s="481">
        <v>2</v>
      </c>
      <c r="E135" s="481" t="s">
        <v>0</v>
      </c>
      <c r="F135" s="481">
        <v>2</v>
      </c>
      <c r="G135" s="481" t="s">
        <v>151</v>
      </c>
      <c r="H135" s="481" t="s">
        <v>227</v>
      </c>
    </row>
    <row r="136" spans="1:8" x14ac:dyDescent="0.2">
      <c r="A136" s="480" t="s">
        <v>321</v>
      </c>
      <c r="B136" s="479">
        <v>44889</v>
      </c>
      <c r="C136" s="481" t="s">
        <v>10</v>
      </c>
      <c r="D136" s="481">
        <v>2</v>
      </c>
      <c r="E136" s="481" t="s">
        <v>0</v>
      </c>
      <c r="F136" s="481">
        <v>2</v>
      </c>
      <c r="G136" s="481" t="s">
        <v>128</v>
      </c>
      <c r="H136" s="481" t="s">
        <v>227</v>
      </c>
    </row>
    <row r="137" spans="1:8" x14ac:dyDescent="0.2">
      <c r="A137" s="480" t="s">
        <v>326</v>
      </c>
      <c r="B137" s="479">
        <v>44889</v>
      </c>
      <c r="C137" s="481" t="s">
        <v>2</v>
      </c>
      <c r="D137" s="481">
        <v>1</v>
      </c>
      <c r="E137" s="481" t="s">
        <v>0</v>
      </c>
      <c r="F137" s="481">
        <v>1</v>
      </c>
      <c r="G137" s="481" t="s">
        <v>5</v>
      </c>
      <c r="H137" s="481" t="s">
        <v>227</v>
      </c>
    </row>
    <row r="138" spans="1:8" x14ac:dyDescent="0.2">
      <c r="A138" s="480" t="s">
        <v>327</v>
      </c>
      <c r="B138" s="479">
        <v>44889</v>
      </c>
      <c r="C138" s="481" t="s">
        <v>9</v>
      </c>
      <c r="D138" s="481">
        <v>2</v>
      </c>
      <c r="E138" s="481" t="s">
        <v>0</v>
      </c>
      <c r="F138" s="481">
        <v>0</v>
      </c>
      <c r="G138" s="481" t="s">
        <v>152</v>
      </c>
      <c r="H138" s="481" t="s">
        <v>227</v>
      </c>
    </row>
    <row r="139" spans="1:8" x14ac:dyDescent="0.2">
      <c r="A139" s="480" t="s">
        <v>320</v>
      </c>
      <c r="B139" s="479">
        <v>44889</v>
      </c>
      <c r="C139" s="481" t="s">
        <v>12</v>
      </c>
      <c r="D139" s="481">
        <v>0</v>
      </c>
      <c r="E139" s="481" t="s">
        <v>0</v>
      </c>
      <c r="F139" s="481">
        <v>1</v>
      </c>
      <c r="G139" s="481" t="s">
        <v>151</v>
      </c>
      <c r="H139" s="481" t="s">
        <v>183</v>
      </c>
    </row>
    <row r="140" spans="1:8" x14ac:dyDescent="0.2">
      <c r="A140" s="480" t="s">
        <v>321</v>
      </c>
      <c r="B140" s="479">
        <v>44889</v>
      </c>
      <c r="C140" s="481" t="s">
        <v>10</v>
      </c>
      <c r="D140" s="481">
        <v>2</v>
      </c>
      <c r="E140" s="481" t="s">
        <v>0</v>
      </c>
      <c r="F140" s="481">
        <v>0</v>
      </c>
      <c r="G140" s="481" t="s">
        <v>128</v>
      </c>
      <c r="H140" s="481" t="s">
        <v>183</v>
      </c>
    </row>
    <row r="141" spans="1:8" x14ac:dyDescent="0.2">
      <c r="A141" s="480" t="s">
        <v>326</v>
      </c>
      <c r="B141" s="479">
        <v>44889</v>
      </c>
      <c r="C141" s="481" t="s">
        <v>2</v>
      </c>
      <c r="D141" s="481">
        <v>3</v>
      </c>
      <c r="E141" s="481" t="s">
        <v>0</v>
      </c>
      <c r="F141" s="481">
        <v>1</v>
      </c>
      <c r="G141" s="481" t="s">
        <v>5</v>
      </c>
      <c r="H141" s="481" t="s">
        <v>183</v>
      </c>
    </row>
    <row r="142" spans="1:8" x14ac:dyDescent="0.2">
      <c r="A142" s="480" t="s">
        <v>327</v>
      </c>
      <c r="B142" s="479">
        <v>44889</v>
      </c>
      <c r="C142" s="481" t="s">
        <v>9</v>
      </c>
      <c r="D142" s="481">
        <v>1</v>
      </c>
      <c r="E142" s="481" t="s">
        <v>0</v>
      </c>
      <c r="F142" s="481">
        <v>2</v>
      </c>
      <c r="G142" s="481" t="s">
        <v>152</v>
      </c>
      <c r="H142" s="481" t="s">
        <v>183</v>
      </c>
    </row>
    <row r="143" spans="1:8" x14ac:dyDescent="0.2">
      <c r="A143" s="480" t="s">
        <v>320</v>
      </c>
      <c r="B143" s="479">
        <v>44889</v>
      </c>
      <c r="C143" s="481" t="s">
        <v>12</v>
      </c>
      <c r="D143" s="481">
        <v>2</v>
      </c>
      <c r="E143" s="481" t="s">
        <v>0</v>
      </c>
      <c r="F143" s="481">
        <v>0</v>
      </c>
      <c r="G143" s="481" t="s">
        <v>151</v>
      </c>
      <c r="H143" s="481" t="s">
        <v>185</v>
      </c>
    </row>
    <row r="144" spans="1:8" x14ac:dyDescent="0.2">
      <c r="A144" s="480" t="s">
        <v>321</v>
      </c>
      <c r="B144" s="479">
        <v>44889</v>
      </c>
      <c r="C144" s="481" t="s">
        <v>10</v>
      </c>
      <c r="D144" s="481">
        <v>2</v>
      </c>
      <c r="E144" s="481" t="s">
        <v>0</v>
      </c>
      <c r="F144" s="481">
        <v>0</v>
      </c>
      <c r="G144" s="481" t="s">
        <v>128</v>
      </c>
      <c r="H144" s="481" t="s">
        <v>185</v>
      </c>
    </row>
    <row r="145" spans="1:8" x14ac:dyDescent="0.2">
      <c r="A145" s="480" t="s">
        <v>326</v>
      </c>
      <c r="B145" s="479">
        <v>44889</v>
      </c>
      <c r="C145" s="481" t="s">
        <v>2</v>
      </c>
      <c r="D145" s="481">
        <v>1</v>
      </c>
      <c r="E145" s="481" t="s">
        <v>0</v>
      </c>
      <c r="F145" s="481">
        <v>0</v>
      </c>
      <c r="G145" s="481" t="s">
        <v>5</v>
      </c>
      <c r="H145" s="481" t="s">
        <v>185</v>
      </c>
    </row>
    <row r="146" spans="1:8" x14ac:dyDescent="0.2">
      <c r="A146" s="480" t="s">
        <v>327</v>
      </c>
      <c r="B146" s="479">
        <v>44889</v>
      </c>
      <c r="C146" s="481" t="s">
        <v>9</v>
      </c>
      <c r="D146" s="481">
        <v>1</v>
      </c>
      <c r="E146" s="481" t="s">
        <v>0</v>
      </c>
      <c r="F146" s="481">
        <v>0</v>
      </c>
      <c r="G146" s="481" t="s">
        <v>152</v>
      </c>
      <c r="H146" s="481" t="s">
        <v>185</v>
      </c>
    </row>
    <row r="147" spans="1:8" x14ac:dyDescent="0.2">
      <c r="A147" s="480" t="s">
        <v>320</v>
      </c>
      <c r="B147" s="479">
        <v>44889</v>
      </c>
      <c r="C147" s="481" t="s">
        <v>12</v>
      </c>
      <c r="D147" s="481">
        <v>2</v>
      </c>
      <c r="E147" s="481" t="s">
        <v>0</v>
      </c>
      <c r="F147" s="481">
        <v>0</v>
      </c>
      <c r="G147" s="481" t="s">
        <v>151</v>
      </c>
      <c r="H147" s="481" t="s">
        <v>332</v>
      </c>
    </row>
    <row r="148" spans="1:8" x14ac:dyDescent="0.2">
      <c r="A148" s="480" t="s">
        <v>321</v>
      </c>
      <c r="B148" s="479">
        <v>44889</v>
      </c>
      <c r="C148" s="481" t="s">
        <v>10</v>
      </c>
      <c r="D148" s="481">
        <v>3</v>
      </c>
      <c r="E148" s="481" t="s">
        <v>0</v>
      </c>
      <c r="F148" s="481">
        <v>1</v>
      </c>
      <c r="G148" s="481" t="s">
        <v>128</v>
      </c>
      <c r="H148" s="481" t="s">
        <v>332</v>
      </c>
    </row>
    <row r="149" spans="1:8" x14ac:dyDescent="0.2">
      <c r="A149" s="480" t="s">
        <v>326</v>
      </c>
      <c r="B149" s="479">
        <v>44889</v>
      </c>
      <c r="C149" s="481" t="s">
        <v>2</v>
      </c>
      <c r="D149" s="481">
        <v>1</v>
      </c>
      <c r="E149" s="481" t="s">
        <v>0</v>
      </c>
      <c r="F149" s="481">
        <v>0</v>
      </c>
      <c r="G149" s="481" t="s">
        <v>5</v>
      </c>
      <c r="H149" s="481" t="s">
        <v>332</v>
      </c>
    </row>
    <row r="150" spans="1:8" x14ac:dyDescent="0.2">
      <c r="A150" s="480" t="s">
        <v>327</v>
      </c>
      <c r="B150" s="479">
        <v>44889</v>
      </c>
      <c r="C150" s="481" t="s">
        <v>9</v>
      </c>
      <c r="D150" s="481">
        <v>1</v>
      </c>
      <c r="E150" s="481" t="s">
        <v>0</v>
      </c>
      <c r="F150" s="481">
        <v>0</v>
      </c>
      <c r="G150" s="481" t="s">
        <v>152</v>
      </c>
      <c r="H150" s="481" t="s">
        <v>332</v>
      </c>
    </row>
    <row r="151" spans="1:8" x14ac:dyDescent="0.2">
      <c r="A151" s="480" t="s">
        <v>320</v>
      </c>
      <c r="B151" s="479">
        <v>44889</v>
      </c>
      <c r="C151" s="483" t="s">
        <v>12</v>
      </c>
      <c r="D151" s="483">
        <v>1</v>
      </c>
      <c r="E151" s="483" t="s">
        <v>0</v>
      </c>
      <c r="F151" s="483">
        <v>1</v>
      </c>
      <c r="G151" s="483" t="s">
        <v>151</v>
      </c>
      <c r="H151" s="481" t="s">
        <v>182</v>
      </c>
    </row>
    <row r="152" spans="1:8" x14ac:dyDescent="0.2">
      <c r="A152" s="480" t="s">
        <v>321</v>
      </c>
      <c r="B152" s="479">
        <v>44889</v>
      </c>
      <c r="C152" s="483" t="s">
        <v>10</v>
      </c>
      <c r="D152" s="483">
        <v>2</v>
      </c>
      <c r="E152" s="483" t="s">
        <v>0</v>
      </c>
      <c r="F152" s="483">
        <v>0</v>
      </c>
      <c r="G152" s="483" t="s">
        <v>128</v>
      </c>
      <c r="H152" s="481" t="s">
        <v>182</v>
      </c>
    </row>
    <row r="153" spans="1:8" x14ac:dyDescent="0.2">
      <c r="A153" s="480" t="s">
        <v>326</v>
      </c>
      <c r="B153" s="479">
        <v>44889</v>
      </c>
      <c r="C153" s="483" t="s">
        <v>2</v>
      </c>
      <c r="D153" s="483">
        <v>2</v>
      </c>
      <c r="E153" s="483" t="s">
        <v>0</v>
      </c>
      <c r="F153" s="483">
        <v>1</v>
      </c>
      <c r="G153" s="483" t="s">
        <v>5</v>
      </c>
      <c r="H153" s="481" t="s">
        <v>182</v>
      </c>
    </row>
    <row r="154" spans="1:8" x14ac:dyDescent="0.2">
      <c r="A154" s="480" t="s">
        <v>327</v>
      </c>
      <c r="B154" s="479">
        <v>44889</v>
      </c>
      <c r="C154" s="483" t="s">
        <v>9</v>
      </c>
      <c r="D154" s="483">
        <v>1</v>
      </c>
      <c r="E154" s="483" t="s">
        <v>0</v>
      </c>
      <c r="F154" s="483">
        <v>0</v>
      </c>
      <c r="G154" s="483" t="s">
        <v>152</v>
      </c>
      <c r="H154" s="481" t="s">
        <v>182</v>
      </c>
    </row>
    <row r="155" spans="1:8" x14ac:dyDescent="0.2">
      <c r="A155" s="480" t="s">
        <v>286</v>
      </c>
      <c r="B155" s="479">
        <v>44890</v>
      </c>
      <c r="C155" s="481" t="s">
        <v>141</v>
      </c>
      <c r="D155" s="481">
        <v>1</v>
      </c>
      <c r="E155" s="481" t="s">
        <v>0</v>
      </c>
      <c r="F155" s="481">
        <v>1</v>
      </c>
      <c r="G155" s="481" t="s">
        <v>131</v>
      </c>
      <c r="H155" s="481" t="s">
        <v>176</v>
      </c>
    </row>
    <row r="156" spans="1:8" x14ac:dyDescent="0.2">
      <c r="A156" s="480" t="s">
        <v>287</v>
      </c>
      <c r="B156" s="479">
        <v>44890</v>
      </c>
      <c r="C156" s="481" t="s">
        <v>140</v>
      </c>
      <c r="D156" s="481">
        <v>2</v>
      </c>
      <c r="E156" s="481" t="s">
        <v>0</v>
      </c>
      <c r="F156" s="481">
        <v>0</v>
      </c>
      <c r="G156" s="481" t="s">
        <v>142</v>
      </c>
      <c r="H156" s="481" t="s">
        <v>176</v>
      </c>
    </row>
    <row r="157" spans="1:8" x14ac:dyDescent="0.2">
      <c r="A157" s="480" t="s">
        <v>292</v>
      </c>
      <c r="B157" s="479">
        <v>44890</v>
      </c>
      <c r="C157" s="481" t="s">
        <v>158</v>
      </c>
      <c r="D157" s="481">
        <v>2</v>
      </c>
      <c r="E157" s="481" t="s">
        <v>0</v>
      </c>
      <c r="F157" s="481">
        <v>0</v>
      </c>
      <c r="G157" s="481" t="s">
        <v>123</v>
      </c>
      <c r="H157" s="481" t="s">
        <v>176</v>
      </c>
    </row>
    <row r="158" spans="1:8" x14ac:dyDescent="0.2">
      <c r="A158" s="480" t="s">
        <v>293</v>
      </c>
      <c r="B158" s="479">
        <v>44890</v>
      </c>
      <c r="C158" s="481" t="s">
        <v>6</v>
      </c>
      <c r="D158" s="481">
        <v>2</v>
      </c>
      <c r="E158" s="481" t="s">
        <v>0</v>
      </c>
      <c r="F158" s="481">
        <v>1</v>
      </c>
      <c r="G158" s="481" t="s">
        <v>145</v>
      </c>
      <c r="H158" s="481" t="s">
        <v>176</v>
      </c>
    </row>
    <row r="159" spans="1:8" x14ac:dyDescent="0.2">
      <c r="A159" s="480" t="s">
        <v>286</v>
      </c>
      <c r="B159" s="479">
        <v>44890</v>
      </c>
      <c r="C159" s="481" t="s">
        <v>141</v>
      </c>
      <c r="D159" s="481">
        <v>0</v>
      </c>
      <c r="E159" s="481" t="s">
        <v>0</v>
      </c>
      <c r="F159" s="481">
        <v>1</v>
      </c>
      <c r="G159" s="481" t="s">
        <v>131</v>
      </c>
      <c r="H159" s="481" t="s">
        <v>226</v>
      </c>
    </row>
    <row r="160" spans="1:8" x14ac:dyDescent="0.2">
      <c r="A160" s="480" t="s">
        <v>287</v>
      </c>
      <c r="B160" s="479">
        <v>44890</v>
      </c>
      <c r="C160" s="481" t="s">
        <v>140</v>
      </c>
      <c r="D160" s="481">
        <v>2</v>
      </c>
      <c r="E160" s="481" t="s">
        <v>0</v>
      </c>
      <c r="F160" s="481">
        <v>1</v>
      </c>
      <c r="G160" s="481" t="s">
        <v>142</v>
      </c>
      <c r="H160" s="481" t="s">
        <v>226</v>
      </c>
    </row>
    <row r="161" spans="1:8" x14ac:dyDescent="0.2">
      <c r="A161" s="480" t="s">
        <v>292</v>
      </c>
      <c r="B161" s="479">
        <v>44890</v>
      </c>
      <c r="C161" s="481" t="s">
        <v>158</v>
      </c>
      <c r="D161" s="481">
        <v>0</v>
      </c>
      <c r="E161" s="481" t="s">
        <v>0</v>
      </c>
      <c r="F161" s="481">
        <v>0</v>
      </c>
      <c r="G161" s="481" t="s">
        <v>123</v>
      </c>
      <c r="H161" s="481" t="s">
        <v>226</v>
      </c>
    </row>
    <row r="162" spans="1:8" x14ac:dyDescent="0.2">
      <c r="A162" s="480" t="s">
        <v>293</v>
      </c>
      <c r="B162" s="479">
        <v>44890</v>
      </c>
      <c r="C162" s="481" t="s">
        <v>6</v>
      </c>
      <c r="D162" s="481">
        <v>2</v>
      </c>
      <c r="E162" s="481" t="s">
        <v>0</v>
      </c>
      <c r="F162" s="481">
        <v>1</v>
      </c>
      <c r="G162" s="481" t="s">
        <v>145</v>
      </c>
      <c r="H162" s="481" t="s">
        <v>226</v>
      </c>
    </row>
    <row r="163" spans="1:8" x14ac:dyDescent="0.2">
      <c r="A163" s="480" t="s">
        <v>286</v>
      </c>
      <c r="B163" s="479">
        <v>44890</v>
      </c>
      <c r="C163" s="481" t="s">
        <v>141</v>
      </c>
      <c r="D163" s="481">
        <v>1</v>
      </c>
      <c r="E163" s="481" t="s">
        <v>0</v>
      </c>
      <c r="F163" s="481">
        <v>2</v>
      </c>
      <c r="G163" s="481" t="s">
        <v>131</v>
      </c>
      <c r="H163" s="481" t="s">
        <v>228</v>
      </c>
    </row>
    <row r="164" spans="1:8" x14ac:dyDescent="0.2">
      <c r="A164" s="480" t="s">
        <v>287</v>
      </c>
      <c r="B164" s="479">
        <v>44890</v>
      </c>
      <c r="C164" s="481" t="s">
        <v>140</v>
      </c>
      <c r="D164" s="481">
        <v>2</v>
      </c>
      <c r="E164" s="481" t="s">
        <v>0</v>
      </c>
      <c r="F164" s="481">
        <v>0</v>
      </c>
      <c r="G164" s="481" t="s">
        <v>142</v>
      </c>
      <c r="H164" s="481" t="s">
        <v>228</v>
      </c>
    </row>
    <row r="165" spans="1:8" x14ac:dyDescent="0.2">
      <c r="A165" s="480" t="s">
        <v>292</v>
      </c>
      <c r="B165" s="479">
        <v>44890</v>
      </c>
      <c r="C165" s="481" t="s">
        <v>158</v>
      </c>
      <c r="D165" s="481">
        <v>2</v>
      </c>
      <c r="E165" s="481" t="s">
        <v>0</v>
      </c>
      <c r="F165" s="481">
        <v>0</v>
      </c>
      <c r="G165" s="481" t="s">
        <v>123</v>
      </c>
      <c r="H165" s="481" t="s">
        <v>228</v>
      </c>
    </row>
    <row r="166" spans="1:8" x14ac:dyDescent="0.2">
      <c r="A166" s="480" t="s">
        <v>293</v>
      </c>
      <c r="B166" s="479">
        <v>44890</v>
      </c>
      <c r="C166" s="481" t="s">
        <v>6</v>
      </c>
      <c r="D166" s="481">
        <v>2</v>
      </c>
      <c r="E166" s="481" t="s">
        <v>0</v>
      </c>
      <c r="F166" s="481">
        <v>0</v>
      </c>
      <c r="G166" s="481" t="s">
        <v>145</v>
      </c>
      <c r="H166" s="481" t="s">
        <v>228</v>
      </c>
    </row>
    <row r="167" spans="1:8" x14ac:dyDescent="0.2">
      <c r="A167" s="480" t="s">
        <v>286</v>
      </c>
      <c r="B167" s="479">
        <v>44890</v>
      </c>
      <c r="C167" s="481" t="s">
        <v>141</v>
      </c>
      <c r="D167" s="481">
        <v>1</v>
      </c>
      <c r="E167" s="481" t="s">
        <v>0</v>
      </c>
      <c r="F167" s="481">
        <v>1</v>
      </c>
      <c r="G167" s="481" t="s">
        <v>131</v>
      </c>
      <c r="H167" s="481" t="s">
        <v>179</v>
      </c>
    </row>
    <row r="168" spans="1:8" x14ac:dyDescent="0.2">
      <c r="A168" s="480" t="s">
        <v>287</v>
      </c>
      <c r="B168" s="479">
        <v>44890</v>
      </c>
      <c r="C168" s="481" t="s">
        <v>140</v>
      </c>
      <c r="D168" s="481">
        <v>2</v>
      </c>
      <c r="E168" s="481" t="s">
        <v>0</v>
      </c>
      <c r="F168" s="481">
        <v>1</v>
      </c>
      <c r="G168" s="481" t="s">
        <v>142</v>
      </c>
      <c r="H168" s="481" t="s">
        <v>179</v>
      </c>
    </row>
    <row r="169" spans="1:8" x14ac:dyDescent="0.2">
      <c r="A169" s="480" t="s">
        <v>292</v>
      </c>
      <c r="B169" s="479">
        <v>44890</v>
      </c>
      <c r="C169" s="481" t="s">
        <v>158</v>
      </c>
      <c r="D169" s="481">
        <v>2</v>
      </c>
      <c r="E169" s="481" t="s">
        <v>0</v>
      </c>
      <c r="F169" s="481">
        <v>2</v>
      </c>
      <c r="G169" s="481" t="s">
        <v>123</v>
      </c>
      <c r="H169" s="481" t="s">
        <v>179</v>
      </c>
    </row>
    <row r="170" spans="1:8" x14ac:dyDescent="0.2">
      <c r="A170" s="480" t="s">
        <v>293</v>
      </c>
      <c r="B170" s="479">
        <v>44890</v>
      </c>
      <c r="C170" s="481" t="s">
        <v>6</v>
      </c>
      <c r="D170" s="481">
        <v>2</v>
      </c>
      <c r="E170" s="481" t="s">
        <v>0</v>
      </c>
      <c r="F170" s="481">
        <v>1</v>
      </c>
      <c r="G170" s="481" t="s">
        <v>145</v>
      </c>
      <c r="H170" s="481" t="s">
        <v>179</v>
      </c>
    </row>
    <row r="171" spans="1:8" x14ac:dyDescent="0.2">
      <c r="A171" s="480" t="s">
        <v>286</v>
      </c>
      <c r="B171" s="479">
        <v>44890</v>
      </c>
      <c r="C171" s="481" t="s">
        <v>141</v>
      </c>
      <c r="D171" s="481">
        <v>1</v>
      </c>
      <c r="E171" s="481" t="s">
        <v>0</v>
      </c>
      <c r="F171" s="481">
        <v>2</v>
      </c>
      <c r="G171" s="481" t="s">
        <v>131</v>
      </c>
      <c r="H171" s="481" t="s">
        <v>223</v>
      </c>
    </row>
    <row r="172" spans="1:8" x14ac:dyDescent="0.2">
      <c r="A172" s="480" t="s">
        <v>287</v>
      </c>
      <c r="B172" s="479">
        <v>44890</v>
      </c>
      <c r="C172" s="481" t="s">
        <v>140</v>
      </c>
      <c r="D172" s="481">
        <v>2</v>
      </c>
      <c r="E172" s="481" t="s">
        <v>0</v>
      </c>
      <c r="F172" s="481">
        <v>1</v>
      </c>
      <c r="G172" s="481" t="s">
        <v>142</v>
      </c>
      <c r="H172" s="481" t="s">
        <v>223</v>
      </c>
    </row>
    <row r="173" spans="1:8" x14ac:dyDescent="0.2">
      <c r="A173" s="480" t="s">
        <v>292</v>
      </c>
      <c r="B173" s="479">
        <v>44890</v>
      </c>
      <c r="C173" s="481" t="s">
        <v>158</v>
      </c>
      <c r="D173" s="481">
        <v>1</v>
      </c>
      <c r="E173" s="481" t="s">
        <v>0</v>
      </c>
      <c r="F173" s="481">
        <v>1</v>
      </c>
      <c r="G173" s="481" t="s">
        <v>123</v>
      </c>
      <c r="H173" s="481" t="s">
        <v>223</v>
      </c>
    </row>
    <row r="174" spans="1:8" x14ac:dyDescent="0.2">
      <c r="A174" s="480" t="s">
        <v>293</v>
      </c>
      <c r="B174" s="479">
        <v>44890</v>
      </c>
      <c r="C174" s="481" t="s">
        <v>6</v>
      </c>
      <c r="D174" s="481">
        <v>2</v>
      </c>
      <c r="E174" s="481" t="s">
        <v>0</v>
      </c>
      <c r="F174" s="481">
        <v>3</v>
      </c>
      <c r="G174" s="481" t="s">
        <v>145</v>
      </c>
      <c r="H174" s="481" t="s">
        <v>223</v>
      </c>
    </row>
    <row r="175" spans="1:8" x14ac:dyDescent="0.2">
      <c r="A175" s="480" t="s">
        <v>286</v>
      </c>
      <c r="B175" s="479">
        <v>44890</v>
      </c>
      <c r="C175" s="481" t="s">
        <v>141</v>
      </c>
      <c r="D175" s="481">
        <v>0</v>
      </c>
      <c r="E175" s="481" t="s">
        <v>0</v>
      </c>
      <c r="F175" s="481">
        <v>1</v>
      </c>
      <c r="G175" s="481" t="s">
        <v>131</v>
      </c>
      <c r="H175" s="481" t="s">
        <v>186</v>
      </c>
    </row>
    <row r="176" spans="1:8" x14ac:dyDescent="0.2">
      <c r="A176" s="480" t="s">
        <v>287</v>
      </c>
      <c r="B176" s="479">
        <v>44890</v>
      </c>
      <c r="C176" s="481" t="s">
        <v>140</v>
      </c>
      <c r="D176" s="481">
        <v>2</v>
      </c>
      <c r="E176" s="481" t="s">
        <v>0</v>
      </c>
      <c r="F176" s="481">
        <v>1</v>
      </c>
      <c r="G176" s="481" t="s">
        <v>142</v>
      </c>
      <c r="H176" s="481" t="s">
        <v>186</v>
      </c>
    </row>
    <row r="177" spans="1:8" x14ac:dyDescent="0.2">
      <c r="A177" s="480" t="s">
        <v>292</v>
      </c>
      <c r="B177" s="479">
        <v>44890</v>
      </c>
      <c r="C177" s="481" t="s">
        <v>158</v>
      </c>
      <c r="D177" s="481">
        <v>0</v>
      </c>
      <c r="E177" s="481" t="s">
        <v>0</v>
      </c>
      <c r="F177" s="481">
        <v>0</v>
      </c>
      <c r="G177" s="481" t="s">
        <v>123</v>
      </c>
      <c r="H177" s="481" t="s">
        <v>186</v>
      </c>
    </row>
    <row r="178" spans="1:8" x14ac:dyDescent="0.2">
      <c r="A178" s="480" t="s">
        <v>293</v>
      </c>
      <c r="B178" s="479">
        <v>44890</v>
      </c>
      <c r="C178" s="481" t="s">
        <v>6</v>
      </c>
      <c r="D178" s="481">
        <v>2</v>
      </c>
      <c r="E178" s="481" t="s">
        <v>0</v>
      </c>
      <c r="F178" s="481">
        <v>0</v>
      </c>
      <c r="G178" s="481" t="s">
        <v>145</v>
      </c>
      <c r="H178" s="481" t="s">
        <v>186</v>
      </c>
    </row>
    <row r="179" spans="1:8" x14ac:dyDescent="0.2">
      <c r="A179" s="480" t="s">
        <v>286</v>
      </c>
      <c r="B179" s="479">
        <v>44890</v>
      </c>
      <c r="C179" s="481" t="s">
        <v>141</v>
      </c>
      <c r="D179" s="481">
        <v>0</v>
      </c>
      <c r="E179" s="481" t="s">
        <v>0</v>
      </c>
      <c r="F179" s="481">
        <v>1</v>
      </c>
      <c r="G179" s="481" t="s">
        <v>131</v>
      </c>
      <c r="H179" s="481" t="s">
        <v>180</v>
      </c>
    </row>
    <row r="180" spans="1:8" x14ac:dyDescent="0.2">
      <c r="A180" s="480" t="s">
        <v>287</v>
      </c>
      <c r="B180" s="479">
        <v>44890</v>
      </c>
      <c r="C180" s="481" t="s">
        <v>140</v>
      </c>
      <c r="D180" s="481">
        <v>2</v>
      </c>
      <c r="E180" s="481" t="s">
        <v>0</v>
      </c>
      <c r="F180" s="481">
        <v>0</v>
      </c>
      <c r="G180" s="481" t="s">
        <v>142</v>
      </c>
      <c r="H180" s="481" t="s">
        <v>180</v>
      </c>
    </row>
    <row r="181" spans="1:8" x14ac:dyDescent="0.2">
      <c r="A181" s="480" t="s">
        <v>292</v>
      </c>
      <c r="B181" s="479">
        <v>44890</v>
      </c>
      <c r="C181" s="481" t="s">
        <v>158</v>
      </c>
      <c r="D181" s="481">
        <v>2</v>
      </c>
      <c r="E181" s="481" t="s">
        <v>0</v>
      </c>
      <c r="F181" s="481">
        <v>0</v>
      </c>
      <c r="G181" s="481" t="s">
        <v>123</v>
      </c>
      <c r="H181" s="481" t="s">
        <v>180</v>
      </c>
    </row>
    <row r="182" spans="1:8" x14ac:dyDescent="0.2">
      <c r="A182" s="480" t="s">
        <v>293</v>
      </c>
      <c r="B182" s="479">
        <v>44890</v>
      </c>
      <c r="C182" s="481" t="s">
        <v>6</v>
      </c>
      <c r="D182" s="481">
        <v>3</v>
      </c>
      <c r="E182" s="481" t="s">
        <v>0</v>
      </c>
      <c r="F182" s="481">
        <v>1</v>
      </c>
      <c r="G182" s="481" t="s">
        <v>145</v>
      </c>
      <c r="H182" s="481" t="s">
        <v>180</v>
      </c>
    </row>
    <row r="183" spans="1:8" x14ac:dyDescent="0.2">
      <c r="A183" s="480" t="s">
        <v>286</v>
      </c>
      <c r="B183" s="479">
        <v>44890</v>
      </c>
      <c r="C183" s="481" t="s">
        <v>141</v>
      </c>
      <c r="D183" s="481">
        <v>0</v>
      </c>
      <c r="E183" s="481" t="s">
        <v>0</v>
      </c>
      <c r="F183" s="481">
        <v>2</v>
      </c>
      <c r="G183" s="481" t="s">
        <v>131</v>
      </c>
      <c r="H183" s="481" t="s">
        <v>225</v>
      </c>
    </row>
    <row r="184" spans="1:8" x14ac:dyDescent="0.2">
      <c r="A184" s="480" t="s">
        <v>287</v>
      </c>
      <c r="B184" s="479">
        <v>44890</v>
      </c>
      <c r="C184" s="481" t="s">
        <v>140</v>
      </c>
      <c r="D184" s="481">
        <v>2</v>
      </c>
      <c r="E184" s="481" t="s">
        <v>0</v>
      </c>
      <c r="F184" s="481">
        <v>0</v>
      </c>
      <c r="G184" s="481" t="s">
        <v>142</v>
      </c>
      <c r="H184" s="481" t="s">
        <v>225</v>
      </c>
    </row>
    <row r="185" spans="1:8" x14ac:dyDescent="0.2">
      <c r="A185" s="480" t="s">
        <v>292</v>
      </c>
      <c r="B185" s="479">
        <v>44890</v>
      </c>
      <c r="C185" s="481" t="s">
        <v>158</v>
      </c>
      <c r="D185" s="481">
        <v>1</v>
      </c>
      <c r="E185" s="481" t="s">
        <v>0</v>
      </c>
      <c r="F185" s="481">
        <v>1</v>
      </c>
      <c r="G185" s="481" t="s">
        <v>123</v>
      </c>
      <c r="H185" s="481" t="s">
        <v>225</v>
      </c>
    </row>
    <row r="186" spans="1:8" x14ac:dyDescent="0.2">
      <c r="A186" s="480" t="s">
        <v>293</v>
      </c>
      <c r="B186" s="479">
        <v>44890</v>
      </c>
      <c r="C186" s="481" t="s">
        <v>6</v>
      </c>
      <c r="D186" s="481">
        <v>2</v>
      </c>
      <c r="E186" s="481" t="s">
        <v>0</v>
      </c>
      <c r="F186" s="481">
        <v>1</v>
      </c>
      <c r="G186" s="481" t="s">
        <v>145</v>
      </c>
      <c r="H186" s="481" t="s">
        <v>225</v>
      </c>
    </row>
    <row r="187" spans="1:8" x14ac:dyDescent="0.2">
      <c r="A187" s="480" t="s">
        <v>286</v>
      </c>
      <c r="B187" s="479">
        <v>44890</v>
      </c>
      <c r="C187" s="481" t="s">
        <v>141</v>
      </c>
      <c r="D187" s="481">
        <v>1</v>
      </c>
      <c r="E187" s="481" t="s">
        <v>0</v>
      </c>
      <c r="F187" s="481">
        <v>2</v>
      </c>
      <c r="G187" s="481" t="s">
        <v>131</v>
      </c>
      <c r="H187" s="481" t="s">
        <v>224</v>
      </c>
    </row>
    <row r="188" spans="1:8" x14ac:dyDescent="0.2">
      <c r="A188" s="480" t="s">
        <v>287</v>
      </c>
      <c r="B188" s="479">
        <v>44890</v>
      </c>
      <c r="C188" s="481" t="s">
        <v>140</v>
      </c>
      <c r="D188" s="481">
        <v>3</v>
      </c>
      <c r="E188" s="481" t="s">
        <v>0</v>
      </c>
      <c r="F188" s="481">
        <v>1</v>
      </c>
      <c r="G188" s="481" t="s">
        <v>142</v>
      </c>
      <c r="H188" s="481" t="s">
        <v>224</v>
      </c>
    </row>
    <row r="189" spans="1:8" x14ac:dyDescent="0.2">
      <c r="A189" s="480" t="s">
        <v>292</v>
      </c>
      <c r="B189" s="479">
        <v>44890</v>
      </c>
      <c r="C189" s="481" t="s">
        <v>158</v>
      </c>
      <c r="D189" s="481">
        <v>1</v>
      </c>
      <c r="E189" s="481" t="s">
        <v>0</v>
      </c>
      <c r="F189" s="481">
        <v>1</v>
      </c>
      <c r="G189" s="481" t="s">
        <v>123</v>
      </c>
      <c r="H189" s="481" t="s">
        <v>224</v>
      </c>
    </row>
    <row r="190" spans="1:8" x14ac:dyDescent="0.2">
      <c r="A190" s="480" t="s">
        <v>293</v>
      </c>
      <c r="B190" s="479">
        <v>44890</v>
      </c>
      <c r="C190" s="481" t="s">
        <v>6</v>
      </c>
      <c r="D190" s="481">
        <v>2</v>
      </c>
      <c r="E190" s="481" t="s">
        <v>0</v>
      </c>
      <c r="F190" s="481">
        <v>1</v>
      </c>
      <c r="G190" s="481" t="s">
        <v>145</v>
      </c>
      <c r="H190" s="481" t="s">
        <v>224</v>
      </c>
    </row>
    <row r="191" spans="1:8" x14ac:dyDescent="0.2">
      <c r="A191" s="480" t="s">
        <v>286</v>
      </c>
      <c r="B191" s="479">
        <v>44890</v>
      </c>
      <c r="C191" s="481" t="s">
        <v>141</v>
      </c>
      <c r="D191" s="481">
        <v>1</v>
      </c>
      <c r="E191" s="481" t="s">
        <v>0</v>
      </c>
      <c r="F191" s="481">
        <v>0</v>
      </c>
      <c r="G191" s="481" t="s">
        <v>131</v>
      </c>
      <c r="H191" s="481" t="s">
        <v>181</v>
      </c>
    </row>
    <row r="192" spans="1:8" x14ac:dyDescent="0.2">
      <c r="A192" s="480" t="s">
        <v>287</v>
      </c>
      <c r="B192" s="479">
        <v>44890</v>
      </c>
      <c r="C192" s="481" t="s">
        <v>140</v>
      </c>
      <c r="D192" s="481">
        <v>1</v>
      </c>
      <c r="E192" s="481" t="s">
        <v>0</v>
      </c>
      <c r="F192" s="481">
        <v>0</v>
      </c>
      <c r="G192" s="481" t="s">
        <v>142</v>
      </c>
      <c r="H192" s="481" t="s">
        <v>181</v>
      </c>
    </row>
    <row r="193" spans="1:8" x14ac:dyDescent="0.2">
      <c r="A193" s="480" t="s">
        <v>292</v>
      </c>
      <c r="B193" s="479">
        <v>44890</v>
      </c>
      <c r="C193" s="481" t="s">
        <v>158</v>
      </c>
      <c r="D193" s="481">
        <v>1</v>
      </c>
      <c r="E193" s="481" t="s">
        <v>0</v>
      </c>
      <c r="F193" s="481">
        <v>1</v>
      </c>
      <c r="G193" s="481" t="s">
        <v>123</v>
      </c>
      <c r="H193" s="481" t="s">
        <v>181</v>
      </c>
    </row>
    <row r="194" spans="1:8" x14ac:dyDescent="0.2">
      <c r="A194" s="480" t="s">
        <v>293</v>
      </c>
      <c r="B194" s="479">
        <v>44890</v>
      </c>
      <c r="C194" s="481" t="s">
        <v>6</v>
      </c>
      <c r="D194" s="481">
        <v>2</v>
      </c>
      <c r="E194" s="481" t="s">
        <v>0</v>
      </c>
      <c r="F194" s="481">
        <v>0</v>
      </c>
      <c r="G194" s="481" t="s">
        <v>145</v>
      </c>
      <c r="H194" s="481" t="s">
        <v>181</v>
      </c>
    </row>
    <row r="195" spans="1:8" x14ac:dyDescent="0.2">
      <c r="A195" s="480" t="s">
        <v>286</v>
      </c>
      <c r="B195" s="479">
        <v>44890</v>
      </c>
      <c r="C195" s="481" t="s">
        <v>141</v>
      </c>
      <c r="D195" s="481">
        <v>1</v>
      </c>
      <c r="E195" s="481" t="s">
        <v>0</v>
      </c>
      <c r="F195" s="481">
        <v>0</v>
      </c>
      <c r="G195" s="481" t="s">
        <v>131</v>
      </c>
      <c r="H195" s="481" t="s">
        <v>177</v>
      </c>
    </row>
    <row r="196" spans="1:8" x14ac:dyDescent="0.2">
      <c r="A196" s="480" t="s">
        <v>287</v>
      </c>
      <c r="B196" s="479">
        <v>44890</v>
      </c>
      <c r="C196" s="481" t="s">
        <v>140</v>
      </c>
      <c r="D196" s="481">
        <v>3</v>
      </c>
      <c r="E196" s="481" t="s">
        <v>0</v>
      </c>
      <c r="F196" s="481">
        <v>0</v>
      </c>
      <c r="G196" s="481" t="s">
        <v>142</v>
      </c>
      <c r="H196" s="481" t="s">
        <v>177</v>
      </c>
    </row>
    <row r="197" spans="1:8" x14ac:dyDescent="0.2">
      <c r="A197" s="480" t="s">
        <v>292</v>
      </c>
      <c r="B197" s="479">
        <v>44890</v>
      </c>
      <c r="C197" s="481" t="s">
        <v>158</v>
      </c>
      <c r="D197" s="481">
        <v>1</v>
      </c>
      <c r="E197" s="481" t="s">
        <v>0</v>
      </c>
      <c r="F197" s="481">
        <v>1</v>
      </c>
      <c r="G197" s="481" t="s">
        <v>123</v>
      </c>
      <c r="H197" s="481" t="s">
        <v>177</v>
      </c>
    </row>
    <row r="198" spans="1:8" x14ac:dyDescent="0.2">
      <c r="A198" s="480" t="s">
        <v>293</v>
      </c>
      <c r="B198" s="479">
        <v>44890</v>
      </c>
      <c r="C198" s="481" t="s">
        <v>6</v>
      </c>
      <c r="D198" s="481">
        <v>2</v>
      </c>
      <c r="E198" s="481" t="s">
        <v>0</v>
      </c>
      <c r="F198" s="481">
        <v>0</v>
      </c>
      <c r="G198" s="481" t="s">
        <v>145</v>
      </c>
      <c r="H198" s="481" t="s">
        <v>177</v>
      </c>
    </row>
    <row r="199" spans="1:8" x14ac:dyDescent="0.2">
      <c r="A199" s="480" t="s">
        <v>286</v>
      </c>
      <c r="B199" s="479">
        <v>44890</v>
      </c>
      <c r="C199" s="481" t="s">
        <v>141</v>
      </c>
      <c r="D199" s="481">
        <v>0</v>
      </c>
      <c r="E199" s="481" t="s">
        <v>0</v>
      </c>
      <c r="F199" s="481">
        <v>2</v>
      </c>
      <c r="G199" s="481" t="s">
        <v>131</v>
      </c>
      <c r="H199" s="481" t="s">
        <v>184</v>
      </c>
    </row>
    <row r="200" spans="1:8" x14ac:dyDescent="0.2">
      <c r="A200" s="480" t="s">
        <v>287</v>
      </c>
      <c r="B200" s="479">
        <v>44890</v>
      </c>
      <c r="C200" s="481" t="s">
        <v>140</v>
      </c>
      <c r="D200" s="481">
        <v>3</v>
      </c>
      <c r="E200" s="481" t="s">
        <v>0</v>
      </c>
      <c r="F200" s="481">
        <v>1</v>
      </c>
      <c r="G200" s="481" t="s">
        <v>142</v>
      </c>
      <c r="H200" s="481" t="s">
        <v>184</v>
      </c>
    </row>
    <row r="201" spans="1:8" x14ac:dyDescent="0.2">
      <c r="A201" s="480" t="s">
        <v>292</v>
      </c>
      <c r="B201" s="479">
        <v>44890</v>
      </c>
      <c r="C201" s="481" t="s">
        <v>158</v>
      </c>
      <c r="D201" s="481">
        <v>0</v>
      </c>
      <c r="E201" s="481" t="s">
        <v>0</v>
      </c>
      <c r="F201" s="481">
        <v>0</v>
      </c>
      <c r="G201" s="481" t="s">
        <v>123</v>
      </c>
      <c r="H201" s="481" t="s">
        <v>184</v>
      </c>
    </row>
    <row r="202" spans="1:8" x14ac:dyDescent="0.2">
      <c r="A202" s="480" t="s">
        <v>293</v>
      </c>
      <c r="B202" s="479">
        <v>44890</v>
      </c>
      <c r="C202" s="481" t="s">
        <v>6</v>
      </c>
      <c r="D202" s="481">
        <v>3</v>
      </c>
      <c r="E202" s="481" t="s">
        <v>0</v>
      </c>
      <c r="F202" s="481">
        <v>0</v>
      </c>
      <c r="G202" s="481" t="s">
        <v>145</v>
      </c>
      <c r="H202" s="481" t="s">
        <v>184</v>
      </c>
    </row>
    <row r="203" spans="1:8" x14ac:dyDescent="0.2">
      <c r="A203" s="480" t="s">
        <v>286</v>
      </c>
      <c r="B203" s="479">
        <v>44890</v>
      </c>
      <c r="C203" s="481" t="s">
        <v>141</v>
      </c>
      <c r="D203" s="481">
        <v>0</v>
      </c>
      <c r="E203" s="481" t="s">
        <v>0</v>
      </c>
      <c r="F203" s="481">
        <v>2</v>
      </c>
      <c r="G203" s="481" t="s">
        <v>131</v>
      </c>
      <c r="H203" s="481" t="s">
        <v>227</v>
      </c>
    </row>
    <row r="204" spans="1:8" x14ac:dyDescent="0.2">
      <c r="A204" s="480" t="s">
        <v>287</v>
      </c>
      <c r="B204" s="479">
        <v>44890</v>
      </c>
      <c r="C204" s="481" t="s">
        <v>140</v>
      </c>
      <c r="D204" s="481">
        <v>2</v>
      </c>
      <c r="E204" s="481" t="s">
        <v>0</v>
      </c>
      <c r="F204" s="481">
        <v>0</v>
      </c>
      <c r="G204" s="481" t="s">
        <v>142</v>
      </c>
      <c r="H204" s="481" t="s">
        <v>227</v>
      </c>
    </row>
    <row r="205" spans="1:8" x14ac:dyDescent="0.2">
      <c r="A205" s="480" t="s">
        <v>292</v>
      </c>
      <c r="B205" s="479">
        <v>44890</v>
      </c>
      <c r="C205" s="481" t="s">
        <v>158</v>
      </c>
      <c r="D205" s="481">
        <v>1</v>
      </c>
      <c r="E205" s="481" t="s">
        <v>0</v>
      </c>
      <c r="F205" s="481">
        <v>0</v>
      </c>
      <c r="G205" s="481" t="s">
        <v>123</v>
      </c>
      <c r="H205" s="481" t="s">
        <v>227</v>
      </c>
    </row>
    <row r="206" spans="1:8" x14ac:dyDescent="0.2">
      <c r="A206" s="480" t="s">
        <v>293</v>
      </c>
      <c r="B206" s="479">
        <v>44890</v>
      </c>
      <c r="C206" s="481" t="s">
        <v>6</v>
      </c>
      <c r="D206" s="481">
        <v>2</v>
      </c>
      <c r="E206" s="481" t="s">
        <v>0</v>
      </c>
      <c r="F206" s="481">
        <v>1</v>
      </c>
      <c r="G206" s="481" t="s">
        <v>145</v>
      </c>
      <c r="H206" s="481" t="s">
        <v>227</v>
      </c>
    </row>
    <row r="207" spans="1:8" x14ac:dyDescent="0.2">
      <c r="A207" s="480" t="s">
        <v>286</v>
      </c>
      <c r="B207" s="479">
        <v>44890</v>
      </c>
      <c r="C207" s="481" t="s">
        <v>141</v>
      </c>
      <c r="D207" s="481">
        <v>0</v>
      </c>
      <c r="E207" s="481" t="s">
        <v>0</v>
      </c>
      <c r="F207" s="481">
        <v>2</v>
      </c>
      <c r="G207" s="481" t="s">
        <v>131</v>
      </c>
      <c r="H207" s="481" t="s">
        <v>183</v>
      </c>
    </row>
    <row r="208" spans="1:8" x14ac:dyDescent="0.2">
      <c r="A208" s="480" t="s">
        <v>287</v>
      </c>
      <c r="B208" s="479">
        <v>44890</v>
      </c>
      <c r="C208" s="481" t="s">
        <v>140</v>
      </c>
      <c r="D208" s="481">
        <v>2</v>
      </c>
      <c r="E208" s="481" t="s">
        <v>0</v>
      </c>
      <c r="F208" s="481">
        <v>1</v>
      </c>
      <c r="G208" s="481" t="s">
        <v>142</v>
      </c>
      <c r="H208" s="481" t="s">
        <v>183</v>
      </c>
    </row>
    <row r="209" spans="1:8" x14ac:dyDescent="0.2">
      <c r="A209" s="480" t="s">
        <v>292</v>
      </c>
      <c r="B209" s="479">
        <v>44890</v>
      </c>
      <c r="C209" s="481" t="s">
        <v>158</v>
      </c>
      <c r="D209" s="481">
        <v>1</v>
      </c>
      <c r="E209" s="481" t="s">
        <v>0</v>
      </c>
      <c r="F209" s="481">
        <v>2</v>
      </c>
      <c r="G209" s="481" t="s">
        <v>123</v>
      </c>
      <c r="H209" s="481" t="s">
        <v>183</v>
      </c>
    </row>
    <row r="210" spans="1:8" x14ac:dyDescent="0.2">
      <c r="A210" s="480" t="s">
        <v>293</v>
      </c>
      <c r="B210" s="479">
        <v>44890</v>
      </c>
      <c r="C210" s="481" t="s">
        <v>6</v>
      </c>
      <c r="D210" s="481">
        <v>2</v>
      </c>
      <c r="E210" s="481" t="s">
        <v>0</v>
      </c>
      <c r="F210" s="481">
        <v>1</v>
      </c>
      <c r="G210" s="481" t="s">
        <v>145</v>
      </c>
      <c r="H210" s="481" t="s">
        <v>183</v>
      </c>
    </row>
    <row r="211" spans="1:8" x14ac:dyDescent="0.2">
      <c r="A211" s="480" t="s">
        <v>286</v>
      </c>
      <c r="B211" s="479">
        <v>44890</v>
      </c>
      <c r="C211" s="481" t="s">
        <v>141</v>
      </c>
      <c r="D211" s="481">
        <v>1</v>
      </c>
      <c r="E211" s="481" t="s">
        <v>0</v>
      </c>
      <c r="F211" s="481">
        <v>0</v>
      </c>
      <c r="G211" s="481" t="s">
        <v>131</v>
      </c>
      <c r="H211" s="481" t="s">
        <v>185</v>
      </c>
    </row>
    <row r="212" spans="1:8" x14ac:dyDescent="0.2">
      <c r="A212" s="480" t="s">
        <v>287</v>
      </c>
      <c r="B212" s="479">
        <v>44890</v>
      </c>
      <c r="C212" s="481" t="s">
        <v>140</v>
      </c>
      <c r="D212" s="481">
        <v>2</v>
      </c>
      <c r="E212" s="481" t="s">
        <v>0</v>
      </c>
      <c r="F212" s="481">
        <v>0</v>
      </c>
      <c r="G212" s="481" t="s">
        <v>142</v>
      </c>
      <c r="H212" s="481" t="s">
        <v>185</v>
      </c>
    </row>
    <row r="213" spans="1:8" x14ac:dyDescent="0.2">
      <c r="A213" s="480" t="s">
        <v>292</v>
      </c>
      <c r="B213" s="479">
        <v>44890</v>
      </c>
      <c r="C213" s="481" t="s">
        <v>158</v>
      </c>
      <c r="D213" s="481">
        <v>0</v>
      </c>
      <c r="E213" s="481" t="s">
        <v>0</v>
      </c>
      <c r="F213" s="481">
        <v>1</v>
      </c>
      <c r="G213" s="481" t="s">
        <v>123</v>
      </c>
      <c r="H213" s="481" t="s">
        <v>185</v>
      </c>
    </row>
    <row r="214" spans="1:8" x14ac:dyDescent="0.2">
      <c r="A214" s="480" t="s">
        <v>293</v>
      </c>
      <c r="B214" s="479">
        <v>44890</v>
      </c>
      <c r="C214" s="481" t="s">
        <v>6</v>
      </c>
      <c r="D214" s="481">
        <v>1</v>
      </c>
      <c r="E214" s="481" t="s">
        <v>0</v>
      </c>
      <c r="F214" s="481">
        <v>0</v>
      </c>
      <c r="G214" s="481" t="s">
        <v>145</v>
      </c>
      <c r="H214" s="481" t="s">
        <v>185</v>
      </c>
    </row>
    <row r="215" spans="1:8" x14ac:dyDescent="0.2">
      <c r="A215" s="480" t="s">
        <v>286</v>
      </c>
      <c r="B215" s="479">
        <v>44890</v>
      </c>
      <c r="C215" s="481" t="s">
        <v>141</v>
      </c>
      <c r="D215" s="481">
        <v>1</v>
      </c>
      <c r="E215" s="481" t="s">
        <v>0</v>
      </c>
      <c r="F215" s="481">
        <v>1</v>
      </c>
      <c r="G215" s="481" t="s">
        <v>131</v>
      </c>
      <c r="H215" s="481" t="s">
        <v>332</v>
      </c>
    </row>
    <row r="216" spans="1:8" x14ac:dyDescent="0.2">
      <c r="A216" s="480" t="s">
        <v>287</v>
      </c>
      <c r="B216" s="479">
        <v>44890</v>
      </c>
      <c r="C216" s="481" t="s">
        <v>140</v>
      </c>
      <c r="D216" s="481">
        <v>2</v>
      </c>
      <c r="E216" s="481" t="s">
        <v>0</v>
      </c>
      <c r="F216" s="481">
        <v>1</v>
      </c>
      <c r="G216" s="481" t="s">
        <v>142</v>
      </c>
      <c r="H216" s="481" t="s">
        <v>332</v>
      </c>
    </row>
    <row r="217" spans="1:8" x14ac:dyDescent="0.2">
      <c r="A217" s="480" t="s">
        <v>292</v>
      </c>
      <c r="B217" s="479">
        <v>44890</v>
      </c>
      <c r="C217" s="481" t="s">
        <v>158</v>
      </c>
      <c r="D217" s="481">
        <v>2</v>
      </c>
      <c r="E217" s="481" t="s">
        <v>0</v>
      </c>
      <c r="F217" s="481">
        <v>0</v>
      </c>
      <c r="G217" s="481" t="s">
        <v>123</v>
      </c>
      <c r="H217" s="481" t="s">
        <v>332</v>
      </c>
    </row>
    <row r="218" spans="1:8" x14ac:dyDescent="0.2">
      <c r="A218" s="480" t="s">
        <v>293</v>
      </c>
      <c r="B218" s="479">
        <v>44890</v>
      </c>
      <c r="C218" s="481" t="s">
        <v>6</v>
      </c>
      <c r="D218" s="481">
        <v>2</v>
      </c>
      <c r="E218" s="481" t="s">
        <v>0</v>
      </c>
      <c r="F218" s="481">
        <v>0</v>
      </c>
      <c r="G218" s="481" t="s">
        <v>145</v>
      </c>
      <c r="H218" s="481" t="s">
        <v>332</v>
      </c>
    </row>
    <row r="219" spans="1:8" x14ac:dyDescent="0.2">
      <c r="A219" s="480" t="s">
        <v>286</v>
      </c>
      <c r="B219" s="479">
        <v>44890</v>
      </c>
      <c r="C219" s="483" t="s">
        <v>141</v>
      </c>
      <c r="D219" s="483">
        <v>1</v>
      </c>
      <c r="E219" s="483" t="s">
        <v>0</v>
      </c>
      <c r="F219" s="483">
        <v>0</v>
      </c>
      <c r="G219" s="483" t="s">
        <v>131</v>
      </c>
      <c r="H219" s="481" t="s">
        <v>182</v>
      </c>
    </row>
    <row r="220" spans="1:8" x14ac:dyDescent="0.2">
      <c r="A220" s="480" t="s">
        <v>287</v>
      </c>
      <c r="B220" s="479">
        <v>44890</v>
      </c>
      <c r="C220" s="483" t="s">
        <v>140</v>
      </c>
      <c r="D220" s="483">
        <v>1</v>
      </c>
      <c r="E220" s="483" t="s">
        <v>0</v>
      </c>
      <c r="F220" s="483">
        <v>0</v>
      </c>
      <c r="G220" s="483" t="s">
        <v>142</v>
      </c>
      <c r="H220" s="481" t="s">
        <v>182</v>
      </c>
    </row>
    <row r="221" spans="1:8" x14ac:dyDescent="0.2">
      <c r="A221" s="480" t="s">
        <v>292</v>
      </c>
      <c r="B221" s="479">
        <v>44890</v>
      </c>
      <c r="C221" s="483" t="s">
        <v>158</v>
      </c>
      <c r="D221" s="483">
        <v>0</v>
      </c>
      <c r="E221" s="483" t="s">
        <v>0</v>
      </c>
      <c r="F221" s="483">
        <v>0</v>
      </c>
      <c r="G221" s="483" t="s">
        <v>123</v>
      </c>
      <c r="H221" s="481" t="s">
        <v>182</v>
      </c>
    </row>
    <row r="222" spans="1:8" x14ac:dyDescent="0.2">
      <c r="A222" s="480" t="s">
        <v>293</v>
      </c>
      <c r="B222" s="479">
        <v>44890</v>
      </c>
      <c r="C222" s="483" t="s">
        <v>6</v>
      </c>
      <c r="D222" s="483">
        <v>1</v>
      </c>
      <c r="E222" s="483" t="s">
        <v>0</v>
      </c>
      <c r="F222" s="483">
        <v>1</v>
      </c>
      <c r="G222" s="483" t="s">
        <v>145</v>
      </c>
      <c r="H222" s="481" t="s">
        <v>182</v>
      </c>
    </row>
    <row r="223" spans="1:8" x14ac:dyDescent="0.2">
      <c r="A223" s="480" t="s">
        <v>298</v>
      </c>
      <c r="B223" s="479">
        <v>44891</v>
      </c>
      <c r="C223" s="481" t="s">
        <v>130</v>
      </c>
      <c r="D223" s="481">
        <v>1</v>
      </c>
      <c r="E223" s="481" t="s">
        <v>0</v>
      </c>
      <c r="F223" s="481">
        <v>1</v>
      </c>
      <c r="G223" s="481" t="s">
        <v>125</v>
      </c>
      <c r="H223" s="481" t="s">
        <v>176</v>
      </c>
    </row>
    <row r="224" spans="1:8" x14ac:dyDescent="0.2">
      <c r="A224" s="480" t="s">
        <v>299</v>
      </c>
      <c r="B224" s="479">
        <v>44891</v>
      </c>
      <c r="C224" s="481" t="s">
        <v>4</v>
      </c>
      <c r="D224" s="481">
        <v>3</v>
      </c>
      <c r="E224" s="481" t="s">
        <v>0</v>
      </c>
      <c r="F224" s="481">
        <v>1</v>
      </c>
      <c r="G224" s="481" t="s">
        <v>1</v>
      </c>
      <c r="H224" s="481" t="s">
        <v>176</v>
      </c>
    </row>
    <row r="225" spans="1:8" x14ac:dyDescent="0.2">
      <c r="A225" s="480" t="s">
        <v>304</v>
      </c>
      <c r="B225" s="479">
        <v>44891</v>
      </c>
      <c r="C225" s="481" t="s">
        <v>129</v>
      </c>
      <c r="D225" s="481">
        <v>2</v>
      </c>
      <c r="E225" s="481" t="s">
        <v>0</v>
      </c>
      <c r="F225" s="481">
        <v>1</v>
      </c>
      <c r="G225" s="481" t="s">
        <v>159</v>
      </c>
      <c r="H225" s="481" t="s">
        <v>176</v>
      </c>
    </row>
    <row r="226" spans="1:8" x14ac:dyDescent="0.2">
      <c r="A226" s="480" t="s">
        <v>305</v>
      </c>
      <c r="B226" s="479">
        <v>44891</v>
      </c>
      <c r="C226" s="481" t="s">
        <v>3</v>
      </c>
      <c r="D226" s="481">
        <v>1</v>
      </c>
      <c r="E226" s="481" t="s">
        <v>0</v>
      </c>
      <c r="F226" s="481">
        <v>1</v>
      </c>
      <c r="G226" s="481" t="s">
        <v>127</v>
      </c>
      <c r="H226" s="481" t="s">
        <v>176</v>
      </c>
    </row>
    <row r="227" spans="1:8" x14ac:dyDescent="0.2">
      <c r="A227" s="480" t="s">
        <v>298</v>
      </c>
      <c r="B227" s="479">
        <v>44891</v>
      </c>
      <c r="C227" s="481" t="s">
        <v>130</v>
      </c>
      <c r="D227" s="481">
        <v>2</v>
      </c>
      <c r="E227" s="481" t="s">
        <v>0</v>
      </c>
      <c r="F227" s="481">
        <v>1</v>
      </c>
      <c r="G227" s="481" t="s">
        <v>125</v>
      </c>
      <c r="H227" s="481" t="s">
        <v>226</v>
      </c>
    </row>
    <row r="228" spans="1:8" x14ac:dyDescent="0.2">
      <c r="A228" s="480" t="s">
        <v>299</v>
      </c>
      <c r="B228" s="479">
        <v>44891</v>
      </c>
      <c r="C228" s="481" t="s">
        <v>4</v>
      </c>
      <c r="D228" s="481">
        <v>2</v>
      </c>
      <c r="E228" s="481" t="s">
        <v>0</v>
      </c>
      <c r="F228" s="481">
        <v>1</v>
      </c>
      <c r="G228" s="481" t="s">
        <v>1</v>
      </c>
      <c r="H228" s="481" t="s">
        <v>226</v>
      </c>
    </row>
    <row r="229" spans="1:8" x14ac:dyDescent="0.2">
      <c r="A229" s="480" t="s">
        <v>304</v>
      </c>
      <c r="B229" s="479">
        <v>44891</v>
      </c>
      <c r="C229" s="481" t="s">
        <v>129</v>
      </c>
      <c r="D229" s="481">
        <v>0</v>
      </c>
      <c r="E229" s="481" t="s">
        <v>0</v>
      </c>
      <c r="F229" s="481">
        <v>0</v>
      </c>
      <c r="G229" s="481" t="s">
        <v>159</v>
      </c>
      <c r="H229" s="481" t="s">
        <v>226</v>
      </c>
    </row>
    <row r="230" spans="1:8" x14ac:dyDescent="0.2">
      <c r="A230" s="480" t="s">
        <v>305</v>
      </c>
      <c r="B230" s="479">
        <v>44891</v>
      </c>
      <c r="C230" s="481" t="s">
        <v>3</v>
      </c>
      <c r="D230" s="481">
        <v>0</v>
      </c>
      <c r="E230" s="481" t="s">
        <v>0</v>
      </c>
      <c r="F230" s="481">
        <v>1</v>
      </c>
      <c r="G230" s="481" t="s">
        <v>127</v>
      </c>
      <c r="H230" s="481" t="s">
        <v>226</v>
      </c>
    </row>
    <row r="231" spans="1:8" x14ac:dyDescent="0.2">
      <c r="A231" s="480" t="s">
        <v>298</v>
      </c>
      <c r="B231" s="479">
        <v>44891</v>
      </c>
      <c r="C231" s="481" t="s">
        <v>130</v>
      </c>
      <c r="D231" s="481">
        <v>2</v>
      </c>
      <c r="E231" s="481" t="s">
        <v>0</v>
      </c>
      <c r="F231" s="481">
        <v>1</v>
      </c>
      <c r="G231" s="481" t="s">
        <v>125</v>
      </c>
      <c r="H231" s="481" t="s">
        <v>228</v>
      </c>
    </row>
    <row r="232" spans="1:8" x14ac:dyDescent="0.2">
      <c r="A232" s="480" t="s">
        <v>299</v>
      </c>
      <c r="B232" s="479">
        <v>44891</v>
      </c>
      <c r="C232" s="481" t="s">
        <v>4</v>
      </c>
      <c r="D232" s="481">
        <v>2</v>
      </c>
      <c r="E232" s="481" t="s">
        <v>0</v>
      </c>
      <c r="F232" s="481">
        <v>0</v>
      </c>
      <c r="G232" s="481" t="s">
        <v>1</v>
      </c>
      <c r="H232" s="481" t="s">
        <v>228</v>
      </c>
    </row>
    <row r="233" spans="1:8" x14ac:dyDescent="0.2">
      <c r="A233" s="480" t="s">
        <v>304</v>
      </c>
      <c r="B233" s="479">
        <v>44891</v>
      </c>
      <c r="C233" s="481" t="s">
        <v>129</v>
      </c>
      <c r="D233" s="481">
        <v>1</v>
      </c>
      <c r="E233" s="481" t="s">
        <v>0</v>
      </c>
      <c r="F233" s="481">
        <v>1</v>
      </c>
      <c r="G233" s="481" t="s">
        <v>159</v>
      </c>
      <c r="H233" s="481" t="s">
        <v>228</v>
      </c>
    </row>
    <row r="234" spans="1:8" x14ac:dyDescent="0.2">
      <c r="A234" s="480" t="s">
        <v>305</v>
      </c>
      <c r="B234" s="479">
        <v>44891</v>
      </c>
      <c r="C234" s="481" t="s">
        <v>3</v>
      </c>
      <c r="D234" s="481">
        <v>2</v>
      </c>
      <c r="E234" s="481" t="s">
        <v>0</v>
      </c>
      <c r="F234" s="481">
        <v>1</v>
      </c>
      <c r="G234" s="481" t="s">
        <v>127</v>
      </c>
      <c r="H234" s="481" t="s">
        <v>228</v>
      </c>
    </row>
    <row r="235" spans="1:8" x14ac:dyDescent="0.2">
      <c r="A235" s="480" t="s">
        <v>298</v>
      </c>
      <c r="B235" s="479">
        <v>44891</v>
      </c>
      <c r="C235" s="481" t="s">
        <v>130</v>
      </c>
      <c r="D235" s="481">
        <v>1</v>
      </c>
      <c r="E235" s="481" t="s">
        <v>0</v>
      </c>
      <c r="F235" s="481">
        <v>2</v>
      </c>
      <c r="G235" s="481" t="s">
        <v>125</v>
      </c>
      <c r="H235" s="481" t="s">
        <v>179</v>
      </c>
    </row>
    <row r="236" spans="1:8" x14ac:dyDescent="0.2">
      <c r="A236" s="480" t="s">
        <v>299</v>
      </c>
      <c r="B236" s="479">
        <v>44891</v>
      </c>
      <c r="C236" s="481" t="s">
        <v>4</v>
      </c>
      <c r="D236" s="481">
        <v>2</v>
      </c>
      <c r="E236" s="481" t="s">
        <v>0</v>
      </c>
      <c r="F236" s="481">
        <v>1</v>
      </c>
      <c r="G236" s="481" t="s">
        <v>1</v>
      </c>
      <c r="H236" s="481" t="s">
        <v>179</v>
      </c>
    </row>
    <row r="237" spans="1:8" x14ac:dyDescent="0.2">
      <c r="A237" s="480" t="s">
        <v>304</v>
      </c>
      <c r="B237" s="479">
        <v>44891</v>
      </c>
      <c r="C237" s="481" t="s">
        <v>129</v>
      </c>
      <c r="D237" s="481">
        <v>1</v>
      </c>
      <c r="E237" s="481" t="s">
        <v>0</v>
      </c>
      <c r="F237" s="481">
        <v>1</v>
      </c>
      <c r="G237" s="481" t="s">
        <v>159</v>
      </c>
      <c r="H237" s="481" t="s">
        <v>179</v>
      </c>
    </row>
    <row r="238" spans="1:8" x14ac:dyDescent="0.2">
      <c r="A238" s="480" t="s">
        <v>305</v>
      </c>
      <c r="B238" s="479">
        <v>44891</v>
      </c>
      <c r="C238" s="481" t="s">
        <v>3</v>
      </c>
      <c r="D238" s="481">
        <v>1</v>
      </c>
      <c r="E238" s="481" t="s">
        <v>0</v>
      </c>
      <c r="F238" s="481">
        <v>1</v>
      </c>
      <c r="G238" s="481" t="s">
        <v>127</v>
      </c>
      <c r="H238" s="481" t="s">
        <v>179</v>
      </c>
    </row>
    <row r="239" spans="1:8" x14ac:dyDescent="0.2">
      <c r="A239" s="480" t="s">
        <v>298</v>
      </c>
      <c r="B239" s="479">
        <v>44891</v>
      </c>
      <c r="C239" s="481" t="s">
        <v>130</v>
      </c>
      <c r="D239" s="481">
        <v>1</v>
      </c>
      <c r="E239" s="481" t="s">
        <v>0</v>
      </c>
      <c r="F239" s="481">
        <v>0</v>
      </c>
      <c r="G239" s="481" t="s">
        <v>125</v>
      </c>
      <c r="H239" s="481" t="s">
        <v>223</v>
      </c>
    </row>
    <row r="240" spans="1:8" x14ac:dyDescent="0.2">
      <c r="A240" s="480" t="s">
        <v>299</v>
      </c>
      <c r="B240" s="479">
        <v>44891</v>
      </c>
      <c r="C240" s="481" t="s">
        <v>4</v>
      </c>
      <c r="D240" s="481">
        <v>3</v>
      </c>
      <c r="E240" s="481" t="s">
        <v>0</v>
      </c>
      <c r="F240" s="481">
        <v>3</v>
      </c>
      <c r="G240" s="481" t="s">
        <v>1</v>
      </c>
      <c r="H240" s="481" t="s">
        <v>223</v>
      </c>
    </row>
    <row r="241" spans="1:8" x14ac:dyDescent="0.2">
      <c r="A241" s="480" t="s">
        <v>304</v>
      </c>
      <c r="B241" s="479">
        <v>44891</v>
      </c>
      <c r="C241" s="481" t="s">
        <v>129</v>
      </c>
      <c r="D241" s="481">
        <v>1</v>
      </c>
      <c r="E241" s="481" t="s">
        <v>0</v>
      </c>
      <c r="F241" s="481">
        <v>1</v>
      </c>
      <c r="G241" s="481" t="s">
        <v>159</v>
      </c>
      <c r="H241" s="481" t="s">
        <v>223</v>
      </c>
    </row>
    <row r="242" spans="1:8" x14ac:dyDescent="0.2">
      <c r="A242" s="480" t="s">
        <v>305</v>
      </c>
      <c r="B242" s="479">
        <v>44891</v>
      </c>
      <c r="C242" s="481" t="s">
        <v>3</v>
      </c>
      <c r="D242" s="481">
        <v>2</v>
      </c>
      <c r="E242" s="481" t="s">
        <v>0</v>
      </c>
      <c r="F242" s="481">
        <v>2</v>
      </c>
      <c r="G242" s="481" t="s">
        <v>127</v>
      </c>
      <c r="H242" s="481" t="s">
        <v>223</v>
      </c>
    </row>
    <row r="243" spans="1:8" x14ac:dyDescent="0.2">
      <c r="A243" s="480" t="s">
        <v>298</v>
      </c>
      <c r="B243" s="479">
        <v>44891</v>
      </c>
      <c r="C243" s="481" t="s">
        <v>130</v>
      </c>
      <c r="D243" s="481">
        <v>2</v>
      </c>
      <c r="E243" s="481" t="s">
        <v>0</v>
      </c>
      <c r="F243" s="481">
        <v>0</v>
      </c>
      <c r="G243" s="481" t="s">
        <v>125</v>
      </c>
      <c r="H243" s="481" t="s">
        <v>186</v>
      </c>
    </row>
    <row r="244" spans="1:8" x14ac:dyDescent="0.2">
      <c r="A244" s="480" t="s">
        <v>299</v>
      </c>
      <c r="B244" s="479">
        <v>44891</v>
      </c>
      <c r="C244" s="481" t="s">
        <v>4</v>
      </c>
      <c r="D244" s="481">
        <v>2</v>
      </c>
      <c r="E244" s="481" t="s">
        <v>0</v>
      </c>
      <c r="F244" s="481">
        <v>1</v>
      </c>
      <c r="G244" s="481" t="s">
        <v>1</v>
      </c>
      <c r="H244" s="481" t="s">
        <v>186</v>
      </c>
    </row>
    <row r="245" spans="1:8" x14ac:dyDescent="0.2">
      <c r="A245" s="480" t="s">
        <v>304</v>
      </c>
      <c r="B245" s="479">
        <v>44891</v>
      </c>
      <c r="C245" s="481" t="s">
        <v>129</v>
      </c>
      <c r="D245" s="481">
        <v>0</v>
      </c>
      <c r="E245" s="481" t="s">
        <v>0</v>
      </c>
      <c r="F245" s="481">
        <v>0</v>
      </c>
      <c r="G245" s="481" t="s">
        <v>159</v>
      </c>
      <c r="H245" s="481" t="s">
        <v>186</v>
      </c>
    </row>
    <row r="246" spans="1:8" x14ac:dyDescent="0.2">
      <c r="A246" s="480" t="s">
        <v>305</v>
      </c>
      <c r="B246" s="479">
        <v>44891</v>
      </c>
      <c r="C246" s="481" t="s">
        <v>3</v>
      </c>
      <c r="D246" s="481">
        <v>2</v>
      </c>
      <c r="E246" s="481" t="s">
        <v>0</v>
      </c>
      <c r="F246" s="481">
        <v>1</v>
      </c>
      <c r="G246" s="481" t="s">
        <v>127</v>
      </c>
      <c r="H246" s="481" t="s">
        <v>186</v>
      </c>
    </row>
    <row r="247" spans="1:8" x14ac:dyDescent="0.2">
      <c r="A247" s="480" t="s">
        <v>298</v>
      </c>
      <c r="B247" s="479">
        <v>44891</v>
      </c>
      <c r="C247" s="481" t="s">
        <v>130</v>
      </c>
      <c r="D247" s="481">
        <v>2</v>
      </c>
      <c r="E247" s="481" t="s">
        <v>0</v>
      </c>
      <c r="F247" s="481">
        <v>0</v>
      </c>
      <c r="G247" s="481" t="s">
        <v>125</v>
      </c>
      <c r="H247" s="481" t="s">
        <v>180</v>
      </c>
    </row>
    <row r="248" spans="1:8" x14ac:dyDescent="0.2">
      <c r="A248" s="480" t="s">
        <v>299</v>
      </c>
      <c r="B248" s="479">
        <v>44891</v>
      </c>
      <c r="C248" s="481" t="s">
        <v>4</v>
      </c>
      <c r="D248" s="481">
        <v>2</v>
      </c>
      <c r="E248" s="481" t="s">
        <v>0</v>
      </c>
      <c r="F248" s="481">
        <v>1</v>
      </c>
      <c r="G248" s="481" t="s">
        <v>1</v>
      </c>
      <c r="H248" s="481" t="s">
        <v>180</v>
      </c>
    </row>
    <row r="249" spans="1:8" x14ac:dyDescent="0.2">
      <c r="A249" s="480" t="s">
        <v>304</v>
      </c>
      <c r="B249" s="479">
        <v>44891</v>
      </c>
      <c r="C249" s="481" t="s">
        <v>129</v>
      </c>
      <c r="D249" s="481">
        <v>0</v>
      </c>
      <c r="E249" s="481" t="s">
        <v>0</v>
      </c>
      <c r="F249" s="481">
        <v>0</v>
      </c>
      <c r="G249" s="481" t="s">
        <v>159</v>
      </c>
      <c r="H249" s="481" t="s">
        <v>180</v>
      </c>
    </row>
    <row r="250" spans="1:8" x14ac:dyDescent="0.2">
      <c r="A250" s="480" t="s">
        <v>305</v>
      </c>
      <c r="B250" s="479">
        <v>44891</v>
      </c>
      <c r="C250" s="481" t="s">
        <v>3</v>
      </c>
      <c r="D250" s="481">
        <v>1</v>
      </c>
      <c r="E250" s="481" t="s">
        <v>0</v>
      </c>
      <c r="F250" s="481">
        <v>0</v>
      </c>
      <c r="G250" s="481" t="s">
        <v>127</v>
      </c>
      <c r="H250" s="481" t="s">
        <v>180</v>
      </c>
    </row>
    <row r="251" spans="1:8" x14ac:dyDescent="0.2">
      <c r="A251" s="480" t="s">
        <v>298</v>
      </c>
      <c r="B251" s="479">
        <v>44891</v>
      </c>
      <c r="C251" s="481" t="s">
        <v>130</v>
      </c>
      <c r="D251" s="481">
        <v>3</v>
      </c>
      <c r="E251" s="481" t="s">
        <v>0</v>
      </c>
      <c r="F251" s="481">
        <v>1</v>
      </c>
      <c r="G251" s="481" t="s">
        <v>125</v>
      </c>
      <c r="H251" s="481" t="s">
        <v>225</v>
      </c>
    </row>
    <row r="252" spans="1:8" x14ac:dyDescent="0.2">
      <c r="A252" s="480" t="s">
        <v>299</v>
      </c>
      <c r="B252" s="479">
        <v>44891</v>
      </c>
      <c r="C252" s="481" t="s">
        <v>4</v>
      </c>
      <c r="D252" s="481">
        <v>2</v>
      </c>
      <c r="E252" s="481" t="s">
        <v>0</v>
      </c>
      <c r="F252" s="481">
        <v>0</v>
      </c>
      <c r="G252" s="481" t="s">
        <v>1</v>
      </c>
      <c r="H252" s="481" t="s">
        <v>225</v>
      </c>
    </row>
    <row r="253" spans="1:8" x14ac:dyDescent="0.2">
      <c r="A253" s="480" t="s">
        <v>304</v>
      </c>
      <c r="B253" s="479">
        <v>44891</v>
      </c>
      <c r="C253" s="481" t="s">
        <v>129</v>
      </c>
      <c r="D253" s="481">
        <v>2</v>
      </c>
      <c r="E253" s="481" t="s">
        <v>0</v>
      </c>
      <c r="F253" s="481">
        <v>0</v>
      </c>
      <c r="G253" s="481" t="s">
        <v>159</v>
      </c>
      <c r="H253" s="481" t="s">
        <v>225</v>
      </c>
    </row>
    <row r="254" spans="1:8" x14ac:dyDescent="0.2">
      <c r="A254" s="480" t="s">
        <v>305</v>
      </c>
      <c r="B254" s="479">
        <v>44891</v>
      </c>
      <c r="C254" s="481" t="s">
        <v>3</v>
      </c>
      <c r="D254" s="481">
        <v>2</v>
      </c>
      <c r="E254" s="481" t="s">
        <v>0</v>
      </c>
      <c r="F254" s="481">
        <v>0</v>
      </c>
      <c r="G254" s="481" t="s">
        <v>127</v>
      </c>
      <c r="H254" s="481" t="s">
        <v>225</v>
      </c>
    </row>
    <row r="255" spans="1:8" x14ac:dyDescent="0.2">
      <c r="A255" s="480" t="s">
        <v>298</v>
      </c>
      <c r="B255" s="479">
        <v>44891</v>
      </c>
      <c r="C255" s="481" t="s">
        <v>130</v>
      </c>
      <c r="D255" s="481">
        <v>1</v>
      </c>
      <c r="E255" s="481" t="s">
        <v>0</v>
      </c>
      <c r="F255" s="481">
        <v>1</v>
      </c>
      <c r="G255" s="481" t="s">
        <v>125</v>
      </c>
      <c r="H255" s="481" t="s">
        <v>224</v>
      </c>
    </row>
    <row r="256" spans="1:8" x14ac:dyDescent="0.2">
      <c r="A256" s="480" t="s">
        <v>299</v>
      </c>
      <c r="B256" s="479">
        <v>44891</v>
      </c>
      <c r="C256" s="481" t="s">
        <v>4</v>
      </c>
      <c r="D256" s="481">
        <v>2</v>
      </c>
      <c r="E256" s="481" t="s">
        <v>0</v>
      </c>
      <c r="F256" s="481">
        <v>1</v>
      </c>
      <c r="G256" s="481" t="s">
        <v>1</v>
      </c>
      <c r="H256" s="481" t="s">
        <v>224</v>
      </c>
    </row>
    <row r="257" spans="1:8" x14ac:dyDescent="0.2">
      <c r="A257" s="480" t="s">
        <v>304</v>
      </c>
      <c r="B257" s="479">
        <v>44891</v>
      </c>
      <c r="C257" s="481" t="s">
        <v>129</v>
      </c>
      <c r="D257" s="481">
        <v>0</v>
      </c>
      <c r="E257" s="481" t="s">
        <v>0</v>
      </c>
      <c r="F257" s="481">
        <v>1</v>
      </c>
      <c r="G257" s="481" t="s">
        <v>159</v>
      </c>
      <c r="H257" s="481" t="s">
        <v>224</v>
      </c>
    </row>
    <row r="258" spans="1:8" x14ac:dyDescent="0.2">
      <c r="A258" s="480" t="s">
        <v>305</v>
      </c>
      <c r="B258" s="479">
        <v>44891</v>
      </c>
      <c r="C258" s="481" t="s">
        <v>3</v>
      </c>
      <c r="D258" s="481">
        <v>2</v>
      </c>
      <c r="E258" s="481" t="s">
        <v>0</v>
      </c>
      <c r="F258" s="481">
        <v>1</v>
      </c>
      <c r="G258" s="481" t="s">
        <v>127</v>
      </c>
      <c r="H258" s="481" t="s">
        <v>224</v>
      </c>
    </row>
    <row r="259" spans="1:8" x14ac:dyDescent="0.2">
      <c r="A259" s="480" t="s">
        <v>298</v>
      </c>
      <c r="B259" s="479">
        <v>44891</v>
      </c>
      <c r="C259" s="481" t="s">
        <v>130</v>
      </c>
      <c r="D259" s="481">
        <v>1</v>
      </c>
      <c r="E259" s="481" t="s">
        <v>0</v>
      </c>
      <c r="F259" s="481">
        <v>0</v>
      </c>
      <c r="G259" s="481" t="s">
        <v>125</v>
      </c>
      <c r="H259" s="481" t="s">
        <v>181</v>
      </c>
    </row>
    <row r="260" spans="1:8" x14ac:dyDescent="0.2">
      <c r="A260" s="480" t="s">
        <v>299</v>
      </c>
      <c r="B260" s="479">
        <v>44891</v>
      </c>
      <c r="C260" s="481" t="s">
        <v>4</v>
      </c>
      <c r="D260" s="481">
        <v>2</v>
      </c>
      <c r="E260" s="481" t="s">
        <v>0</v>
      </c>
      <c r="F260" s="481">
        <v>0</v>
      </c>
      <c r="G260" s="481" t="s">
        <v>1</v>
      </c>
      <c r="H260" s="481" t="s">
        <v>181</v>
      </c>
    </row>
    <row r="261" spans="1:8" x14ac:dyDescent="0.2">
      <c r="A261" s="480" t="s">
        <v>304</v>
      </c>
      <c r="B261" s="479">
        <v>44891</v>
      </c>
      <c r="C261" s="481" t="s">
        <v>129</v>
      </c>
      <c r="D261" s="481">
        <v>0</v>
      </c>
      <c r="E261" s="481" t="s">
        <v>0</v>
      </c>
      <c r="F261" s="481">
        <v>0</v>
      </c>
      <c r="G261" s="481" t="s">
        <v>159</v>
      </c>
      <c r="H261" s="481" t="s">
        <v>181</v>
      </c>
    </row>
    <row r="262" spans="1:8" x14ac:dyDescent="0.2">
      <c r="A262" s="480" t="s">
        <v>305</v>
      </c>
      <c r="B262" s="479">
        <v>44891</v>
      </c>
      <c r="C262" s="481" t="s">
        <v>3</v>
      </c>
      <c r="D262" s="481">
        <v>1</v>
      </c>
      <c r="E262" s="481" t="s">
        <v>0</v>
      </c>
      <c r="F262" s="481">
        <v>1</v>
      </c>
      <c r="G262" s="481" t="s">
        <v>127</v>
      </c>
      <c r="H262" s="481" t="s">
        <v>181</v>
      </c>
    </row>
    <row r="263" spans="1:8" x14ac:dyDescent="0.2">
      <c r="A263" s="480" t="s">
        <v>298</v>
      </c>
      <c r="B263" s="479">
        <v>44891</v>
      </c>
      <c r="C263" s="481" t="s">
        <v>130</v>
      </c>
      <c r="D263" s="481">
        <v>2</v>
      </c>
      <c r="E263" s="481" t="s">
        <v>0</v>
      </c>
      <c r="F263" s="481">
        <v>0</v>
      </c>
      <c r="G263" s="481" t="s">
        <v>125</v>
      </c>
      <c r="H263" s="481" t="s">
        <v>177</v>
      </c>
    </row>
    <row r="264" spans="1:8" x14ac:dyDescent="0.2">
      <c r="A264" s="480" t="s">
        <v>299</v>
      </c>
      <c r="B264" s="479">
        <v>44891</v>
      </c>
      <c r="C264" s="481" t="s">
        <v>4</v>
      </c>
      <c r="D264" s="481">
        <v>3</v>
      </c>
      <c r="E264" s="481" t="s">
        <v>0</v>
      </c>
      <c r="F264" s="481">
        <v>0</v>
      </c>
      <c r="G264" s="481" t="s">
        <v>1</v>
      </c>
      <c r="H264" s="481" t="s">
        <v>177</v>
      </c>
    </row>
    <row r="265" spans="1:8" x14ac:dyDescent="0.2">
      <c r="A265" s="480" t="s">
        <v>304</v>
      </c>
      <c r="B265" s="479">
        <v>44891</v>
      </c>
      <c r="C265" s="481" t="s">
        <v>129</v>
      </c>
      <c r="D265" s="481">
        <v>0</v>
      </c>
      <c r="E265" s="481" t="s">
        <v>0</v>
      </c>
      <c r="F265" s="481">
        <v>0</v>
      </c>
      <c r="G265" s="481" t="s">
        <v>159</v>
      </c>
      <c r="H265" s="481" t="s">
        <v>177</v>
      </c>
    </row>
    <row r="266" spans="1:8" x14ac:dyDescent="0.2">
      <c r="A266" s="480" t="s">
        <v>305</v>
      </c>
      <c r="B266" s="479">
        <v>44891</v>
      </c>
      <c r="C266" s="481" t="s">
        <v>3</v>
      </c>
      <c r="D266" s="481">
        <v>3</v>
      </c>
      <c r="E266" s="481" t="s">
        <v>0</v>
      </c>
      <c r="F266" s="481">
        <v>3</v>
      </c>
      <c r="G266" s="481" t="s">
        <v>127</v>
      </c>
      <c r="H266" s="481" t="s">
        <v>177</v>
      </c>
    </row>
    <row r="267" spans="1:8" x14ac:dyDescent="0.2">
      <c r="A267" s="480" t="s">
        <v>298</v>
      </c>
      <c r="B267" s="479">
        <v>44891</v>
      </c>
      <c r="C267" s="481" t="s">
        <v>130</v>
      </c>
      <c r="D267" s="481">
        <v>4</v>
      </c>
      <c r="E267" s="481" t="s">
        <v>0</v>
      </c>
      <c r="F267" s="481">
        <v>2</v>
      </c>
      <c r="G267" s="481" t="s">
        <v>125</v>
      </c>
      <c r="H267" s="481" t="s">
        <v>184</v>
      </c>
    </row>
    <row r="268" spans="1:8" x14ac:dyDescent="0.2">
      <c r="A268" s="480" t="s">
        <v>299</v>
      </c>
      <c r="B268" s="479">
        <v>44891</v>
      </c>
      <c r="C268" s="481" t="s">
        <v>4</v>
      </c>
      <c r="D268" s="481">
        <v>3</v>
      </c>
      <c r="E268" s="481" t="s">
        <v>0</v>
      </c>
      <c r="F268" s="481">
        <v>2</v>
      </c>
      <c r="G268" s="481" t="s">
        <v>1</v>
      </c>
      <c r="H268" s="481" t="s">
        <v>184</v>
      </c>
    </row>
    <row r="269" spans="1:8" x14ac:dyDescent="0.2">
      <c r="A269" s="480" t="s">
        <v>304</v>
      </c>
      <c r="B269" s="479">
        <v>44891</v>
      </c>
      <c r="C269" s="481" t="s">
        <v>129</v>
      </c>
      <c r="D269" s="481">
        <v>1</v>
      </c>
      <c r="E269" s="481" t="s">
        <v>0</v>
      </c>
      <c r="F269" s="481">
        <v>1</v>
      </c>
      <c r="G269" s="481" t="s">
        <v>159</v>
      </c>
      <c r="H269" s="481" t="s">
        <v>184</v>
      </c>
    </row>
    <row r="270" spans="1:8" x14ac:dyDescent="0.2">
      <c r="A270" s="480" t="s">
        <v>305</v>
      </c>
      <c r="B270" s="479">
        <v>44891</v>
      </c>
      <c r="C270" s="481" t="s">
        <v>3</v>
      </c>
      <c r="D270" s="481">
        <v>2</v>
      </c>
      <c r="E270" s="481" t="s">
        <v>0</v>
      </c>
      <c r="F270" s="481">
        <v>0</v>
      </c>
      <c r="G270" s="481" t="s">
        <v>127</v>
      </c>
      <c r="H270" s="481" t="s">
        <v>184</v>
      </c>
    </row>
    <row r="271" spans="1:8" x14ac:dyDescent="0.2">
      <c r="A271" s="480" t="s">
        <v>298</v>
      </c>
      <c r="B271" s="479">
        <v>44891</v>
      </c>
      <c r="C271" s="481" t="s">
        <v>130</v>
      </c>
      <c r="D271" s="481">
        <v>2</v>
      </c>
      <c r="E271" s="481" t="s">
        <v>0</v>
      </c>
      <c r="F271" s="481">
        <v>1</v>
      </c>
      <c r="G271" s="481" t="s">
        <v>125</v>
      </c>
      <c r="H271" s="481" t="s">
        <v>227</v>
      </c>
    </row>
    <row r="272" spans="1:8" x14ac:dyDescent="0.2">
      <c r="A272" s="480" t="s">
        <v>299</v>
      </c>
      <c r="B272" s="479">
        <v>44891</v>
      </c>
      <c r="C272" s="481" t="s">
        <v>4</v>
      </c>
      <c r="D272" s="481">
        <v>2</v>
      </c>
      <c r="E272" s="481" t="s">
        <v>0</v>
      </c>
      <c r="F272" s="481">
        <v>0</v>
      </c>
      <c r="G272" s="481" t="s">
        <v>1</v>
      </c>
      <c r="H272" s="481" t="s">
        <v>227</v>
      </c>
    </row>
    <row r="273" spans="1:8" x14ac:dyDescent="0.2">
      <c r="A273" s="480" t="s">
        <v>304</v>
      </c>
      <c r="B273" s="479">
        <v>44891</v>
      </c>
      <c r="C273" s="481" t="s">
        <v>129</v>
      </c>
      <c r="D273" s="481">
        <v>2</v>
      </c>
      <c r="E273" s="481" t="s">
        <v>0</v>
      </c>
      <c r="F273" s="481">
        <v>0</v>
      </c>
      <c r="G273" s="481" t="s">
        <v>159</v>
      </c>
      <c r="H273" s="481" t="s">
        <v>227</v>
      </c>
    </row>
    <row r="274" spans="1:8" x14ac:dyDescent="0.2">
      <c r="A274" s="480" t="s">
        <v>305</v>
      </c>
      <c r="B274" s="479">
        <v>44891</v>
      </c>
      <c r="C274" s="481" t="s">
        <v>3</v>
      </c>
      <c r="D274" s="481">
        <v>1</v>
      </c>
      <c r="E274" s="481" t="s">
        <v>0</v>
      </c>
      <c r="F274" s="481">
        <v>1</v>
      </c>
      <c r="G274" s="481" t="s">
        <v>127</v>
      </c>
      <c r="H274" s="481" t="s">
        <v>227</v>
      </c>
    </row>
    <row r="275" spans="1:8" x14ac:dyDescent="0.2">
      <c r="A275" s="480" t="s">
        <v>298</v>
      </c>
      <c r="B275" s="479">
        <v>44891</v>
      </c>
      <c r="C275" s="481" t="s">
        <v>130</v>
      </c>
      <c r="D275" s="481">
        <v>2</v>
      </c>
      <c r="E275" s="481" t="s">
        <v>0</v>
      </c>
      <c r="F275" s="481">
        <v>1</v>
      </c>
      <c r="G275" s="481" t="s">
        <v>125</v>
      </c>
      <c r="H275" s="481" t="s">
        <v>183</v>
      </c>
    </row>
    <row r="276" spans="1:8" x14ac:dyDescent="0.2">
      <c r="A276" s="480" t="s">
        <v>299</v>
      </c>
      <c r="B276" s="479">
        <v>44891</v>
      </c>
      <c r="C276" s="481" t="s">
        <v>4</v>
      </c>
      <c r="D276" s="481">
        <v>2</v>
      </c>
      <c r="E276" s="481" t="s">
        <v>0</v>
      </c>
      <c r="F276" s="481">
        <v>2</v>
      </c>
      <c r="G276" s="481" t="s">
        <v>1</v>
      </c>
      <c r="H276" s="481" t="s">
        <v>183</v>
      </c>
    </row>
    <row r="277" spans="1:8" x14ac:dyDescent="0.2">
      <c r="A277" s="480" t="s">
        <v>304</v>
      </c>
      <c r="B277" s="479">
        <v>44891</v>
      </c>
      <c r="C277" s="481" t="s">
        <v>129</v>
      </c>
      <c r="D277" s="481">
        <v>1</v>
      </c>
      <c r="E277" s="481" t="s">
        <v>0</v>
      </c>
      <c r="F277" s="481">
        <v>1</v>
      </c>
      <c r="G277" s="481" t="s">
        <v>159</v>
      </c>
      <c r="H277" s="481" t="s">
        <v>183</v>
      </c>
    </row>
    <row r="278" spans="1:8" x14ac:dyDescent="0.2">
      <c r="A278" s="480" t="s">
        <v>305</v>
      </c>
      <c r="B278" s="479">
        <v>44891</v>
      </c>
      <c r="C278" s="481" t="s">
        <v>3</v>
      </c>
      <c r="D278" s="481">
        <v>2</v>
      </c>
      <c r="E278" s="481" t="s">
        <v>0</v>
      </c>
      <c r="F278" s="481">
        <v>1</v>
      </c>
      <c r="G278" s="481" t="s">
        <v>127</v>
      </c>
      <c r="H278" s="481" t="s">
        <v>183</v>
      </c>
    </row>
    <row r="279" spans="1:8" x14ac:dyDescent="0.2">
      <c r="A279" s="480" t="s">
        <v>298</v>
      </c>
      <c r="B279" s="479">
        <v>44891</v>
      </c>
      <c r="C279" s="481" t="s">
        <v>130</v>
      </c>
      <c r="D279" s="481">
        <v>1</v>
      </c>
      <c r="E279" s="481" t="s">
        <v>0</v>
      </c>
      <c r="F279" s="481">
        <v>1</v>
      </c>
      <c r="G279" s="481" t="s">
        <v>125</v>
      </c>
      <c r="H279" s="481" t="s">
        <v>185</v>
      </c>
    </row>
    <row r="280" spans="1:8" x14ac:dyDescent="0.2">
      <c r="A280" s="480" t="s">
        <v>299</v>
      </c>
      <c r="B280" s="479">
        <v>44891</v>
      </c>
      <c r="C280" s="481" t="s">
        <v>4</v>
      </c>
      <c r="D280" s="481">
        <v>1</v>
      </c>
      <c r="E280" s="481" t="s">
        <v>0</v>
      </c>
      <c r="F280" s="481">
        <v>0</v>
      </c>
      <c r="G280" s="481" t="s">
        <v>1</v>
      </c>
      <c r="H280" s="481" t="s">
        <v>185</v>
      </c>
    </row>
    <row r="281" spans="1:8" x14ac:dyDescent="0.2">
      <c r="A281" s="480" t="s">
        <v>304</v>
      </c>
      <c r="B281" s="479">
        <v>44891</v>
      </c>
      <c r="C281" s="481" t="s">
        <v>129</v>
      </c>
      <c r="D281" s="481">
        <v>0</v>
      </c>
      <c r="E281" s="481" t="s">
        <v>0</v>
      </c>
      <c r="F281" s="481">
        <v>1</v>
      </c>
      <c r="G281" s="481" t="s">
        <v>159</v>
      </c>
      <c r="H281" s="481" t="s">
        <v>185</v>
      </c>
    </row>
    <row r="282" spans="1:8" x14ac:dyDescent="0.2">
      <c r="A282" s="480" t="s">
        <v>305</v>
      </c>
      <c r="B282" s="479">
        <v>44891</v>
      </c>
      <c r="C282" s="481" t="s">
        <v>3</v>
      </c>
      <c r="D282" s="481">
        <v>2</v>
      </c>
      <c r="E282" s="481" t="s">
        <v>0</v>
      </c>
      <c r="F282" s="481">
        <v>0</v>
      </c>
      <c r="G282" s="481" t="s">
        <v>127</v>
      </c>
      <c r="H282" s="481" t="s">
        <v>185</v>
      </c>
    </row>
    <row r="283" spans="1:8" x14ac:dyDescent="0.2">
      <c r="A283" s="480" t="s">
        <v>298</v>
      </c>
      <c r="B283" s="479">
        <v>44891</v>
      </c>
      <c r="C283" s="481" t="s">
        <v>130</v>
      </c>
      <c r="D283" s="481">
        <v>2</v>
      </c>
      <c r="E283" s="481" t="s">
        <v>0</v>
      </c>
      <c r="F283" s="481">
        <v>0</v>
      </c>
      <c r="G283" s="481" t="s">
        <v>125</v>
      </c>
      <c r="H283" s="481" t="s">
        <v>332</v>
      </c>
    </row>
    <row r="284" spans="1:8" x14ac:dyDescent="0.2">
      <c r="A284" s="480" t="s">
        <v>299</v>
      </c>
      <c r="B284" s="479">
        <v>44891</v>
      </c>
      <c r="C284" s="481" t="s">
        <v>4</v>
      </c>
      <c r="D284" s="481">
        <v>2</v>
      </c>
      <c r="E284" s="481" t="s">
        <v>0</v>
      </c>
      <c r="F284" s="481">
        <v>0</v>
      </c>
      <c r="G284" s="481" t="s">
        <v>1</v>
      </c>
      <c r="H284" s="481" t="s">
        <v>332</v>
      </c>
    </row>
    <row r="285" spans="1:8" x14ac:dyDescent="0.2">
      <c r="A285" s="480" t="s">
        <v>304</v>
      </c>
      <c r="B285" s="479">
        <v>44891</v>
      </c>
      <c r="C285" s="481" t="s">
        <v>129</v>
      </c>
      <c r="D285" s="481">
        <v>1</v>
      </c>
      <c r="E285" s="481" t="s">
        <v>0</v>
      </c>
      <c r="F285" s="481">
        <v>1</v>
      </c>
      <c r="G285" s="481" t="s">
        <v>159</v>
      </c>
      <c r="H285" s="481" t="s">
        <v>332</v>
      </c>
    </row>
    <row r="286" spans="1:8" x14ac:dyDescent="0.2">
      <c r="A286" s="480" t="s">
        <v>305</v>
      </c>
      <c r="B286" s="479">
        <v>44891</v>
      </c>
      <c r="C286" s="481" t="s">
        <v>3</v>
      </c>
      <c r="D286" s="481">
        <v>2</v>
      </c>
      <c r="E286" s="481" t="s">
        <v>0</v>
      </c>
      <c r="F286" s="481">
        <v>1</v>
      </c>
      <c r="G286" s="481" t="s">
        <v>127</v>
      </c>
      <c r="H286" s="481" t="s">
        <v>332</v>
      </c>
    </row>
    <row r="287" spans="1:8" x14ac:dyDescent="0.2">
      <c r="A287" s="480" t="s">
        <v>298</v>
      </c>
      <c r="B287" s="479">
        <v>44891</v>
      </c>
      <c r="C287" s="483" t="s">
        <v>130</v>
      </c>
      <c r="D287" s="483">
        <v>0</v>
      </c>
      <c r="E287" s="483" t="s">
        <v>0</v>
      </c>
      <c r="F287" s="483">
        <v>0</v>
      </c>
      <c r="G287" s="483" t="s">
        <v>125</v>
      </c>
      <c r="H287" s="481" t="s">
        <v>182</v>
      </c>
    </row>
    <row r="288" spans="1:8" x14ac:dyDescent="0.2">
      <c r="A288" s="480" t="s">
        <v>299</v>
      </c>
      <c r="B288" s="479">
        <v>44891</v>
      </c>
      <c r="C288" s="483" t="s">
        <v>4</v>
      </c>
      <c r="D288" s="483">
        <v>2</v>
      </c>
      <c r="E288" s="483" t="s">
        <v>0</v>
      </c>
      <c r="F288" s="483">
        <v>2</v>
      </c>
      <c r="G288" s="483" t="s">
        <v>1</v>
      </c>
      <c r="H288" s="481" t="s">
        <v>182</v>
      </c>
    </row>
    <row r="289" spans="1:8" x14ac:dyDescent="0.2">
      <c r="A289" s="480" t="s">
        <v>304</v>
      </c>
      <c r="B289" s="479">
        <v>44891</v>
      </c>
      <c r="C289" s="483" t="s">
        <v>129</v>
      </c>
      <c r="D289" s="483">
        <v>0</v>
      </c>
      <c r="E289" s="483" t="s">
        <v>0</v>
      </c>
      <c r="F289" s="483">
        <v>1</v>
      </c>
      <c r="G289" s="483" t="s">
        <v>159</v>
      </c>
      <c r="H289" s="481" t="s">
        <v>182</v>
      </c>
    </row>
    <row r="290" spans="1:8" x14ac:dyDescent="0.2">
      <c r="A290" s="480" t="s">
        <v>305</v>
      </c>
      <c r="B290" s="479">
        <v>44891</v>
      </c>
      <c r="C290" s="483" t="s">
        <v>3</v>
      </c>
      <c r="D290" s="483">
        <v>2</v>
      </c>
      <c r="E290" s="483" t="s">
        <v>0</v>
      </c>
      <c r="F290" s="483">
        <v>0</v>
      </c>
      <c r="G290" s="483" t="s">
        <v>127</v>
      </c>
      <c r="H290" s="481" t="s">
        <v>182</v>
      </c>
    </row>
    <row r="291" spans="1:8" x14ac:dyDescent="0.2">
      <c r="A291" s="480" t="s">
        <v>310</v>
      </c>
      <c r="B291" s="479">
        <v>44892</v>
      </c>
      <c r="C291" s="481" t="s">
        <v>8</v>
      </c>
      <c r="D291" s="481">
        <v>1</v>
      </c>
      <c r="E291" s="481" t="s">
        <v>0</v>
      </c>
      <c r="F291" s="481">
        <v>0</v>
      </c>
      <c r="G291" s="481" t="s">
        <v>160</v>
      </c>
      <c r="H291" s="481" t="s">
        <v>176</v>
      </c>
    </row>
    <row r="292" spans="1:8" x14ac:dyDescent="0.2">
      <c r="A292" s="480" t="s">
        <v>311</v>
      </c>
      <c r="B292" s="479">
        <v>44892</v>
      </c>
      <c r="C292" s="481" t="s">
        <v>11</v>
      </c>
      <c r="D292" s="481">
        <v>1</v>
      </c>
      <c r="E292" s="481" t="s">
        <v>0</v>
      </c>
      <c r="F292" s="481">
        <v>1</v>
      </c>
      <c r="G292" s="481" t="s">
        <v>7</v>
      </c>
      <c r="H292" s="481" t="s">
        <v>176</v>
      </c>
    </row>
    <row r="293" spans="1:8" x14ac:dyDescent="0.2">
      <c r="A293" s="480" t="s">
        <v>316</v>
      </c>
      <c r="B293" s="479">
        <v>44892</v>
      </c>
      <c r="C293" s="481" t="s">
        <v>104</v>
      </c>
      <c r="D293" s="481">
        <v>2</v>
      </c>
      <c r="E293" s="481" t="s">
        <v>0</v>
      </c>
      <c r="F293" s="481">
        <v>0</v>
      </c>
      <c r="G293" s="481" t="s">
        <v>126</v>
      </c>
      <c r="H293" s="481" t="s">
        <v>176</v>
      </c>
    </row>
    <row r="294" spans="1:8" x14ac:dyDescent="0.2">
      <c r="A294" s="480" t="s">
        <v>317</v>
      </c>
      <c r="B294" s="479">
        <v>44892</v>
      </c>
      <c r="C294" s="481" t="s">
        <v>70</v>
      </c>
      <c r="D294" s="481">
        <v>1</v>
      </c>
      <c r="E294" s="481" t="s">
        <v>0</v>
      </c>
      <c r="F294" s="481">
        <v>1</v>
      </c>
      <c r="G294" s="481" t="s">
        <v>150</v>
      </c>
      <c r="H294" s="481" t="s">
        <v>176</v>
      </c>
    </row>
    <row r="295" spans="1:8" x14ac:dyDescent="0.2">
      <c r="A295" s="480" t="s">
        <v>310</v>
      </c>
      <c r="B295" s="479">
        <v>44892</v>
      </c>
      <c r="C295" s="481" t="s">
        <v>8</v>
      </c>
      <c r="D295" s="481">
        <v>3</v>
      </c>
      <c r="E295" s="481" t="s">
        <v>0</v>
      </c>
      <c r="F295" s="481">
        <v>2</v>
      </c>
      <c r="G295" s="481" t="s">
        <v>160</v>
      </c>
      <c r="H295" s="481" t="s">
        <v>226</v>
      </c>
    </row>
    <row r="296" spans="1:8" x14ac:dyDescent="0.2">
      <c r="A296" s="480" t="s">
        <v>311</v>
      </c>
      <c r="B296" s="479">
        <v>44892</v>
      </c>
      <c r="C296" s="481" t="s">
        <v>11</v>
      </c>
      <c r="D296" s="481">
        <v>2</v>
      </c>
      <c r="E296" s="481" t="s">
        <v>0</v>
      </c>
      <c r="F296" s="481">
        <v>2</v>
      </c>
      <c r="G296" s="481" t="s">
        <v>7</v>
      </c>
      <c r="H296" s="481" t="s">
        <v>226</v>
      </c>
    </row>
    <row r="297" spans="1:8" x14ac:dyDescent="0.2">
      <c r="A297" s="480" t="s">
        <v>316</v>
      </c>
      <c r="B297" s="479">
        <v>44892</v>
      </c>
      <c r="C297" s="481" t="s">
        <v>104</v>
      </c>
      <c r="D297" s="481">
        <v>4</v>
      </c>
      <c r="E297" s="481" t="s">
        <v>0</v>
      </c>
      <c r="F297" s="481">
        <v>1</v>
      </c>
      <c r="G297" s="481" t="s">
        <v>126</v>
      </c>
      <c r="H297" s="481" t="s">
        <v>226</v>
      </c>
    </row>
    <row r="298" spans="1:8" x14ac:dyDescent="0.2">
      <c r="A298" s="480" t="s">
        <v>317</v>
      </c>
      <c r="B298" s="479">
        <v>44892</v>
      </c>
      <c r="C298" s="481" t="s">
        <v>70</v>
      </c>
      <c r="D298" s="481">
        <v>2</v>
      </c>
      <c r="E298" s="481" t="s">
        <v>0</v>
      </c>
      <c r="F298" s="481">
        <v>1</v>
      </c>
      <c r="G298" s="481" t="s">
        <v>150</v>
      </c>
      <c r="H298" s="481" t="s">
        <v>226</v>
      </c>
    </row>
    <row r="299" spans="1:8" x14ac:dyDescent="0.2">
      <c r="A299" s="480" t="s">
        <v>310</v>
      </c>
      <c r="B299" s="479">
        <v>44892</v>
      </c>
      <c r="C299" s="481" t="s">
        <v>8</v>
      </c>
      <c r="D299" s="481">
        <v>2</v>
      </c>
      <c r="E299" s="481" t="s">
        <v>0</v>
      </c>
      <c r="F299" s="481">
        <v>2</v>
      </c>
      <c r="G299" s="481" t="s">
        <v>160</v>
      </c>
      <c r="H299" s="481" t="s">
        <v>228</v>
      </c>
    </row>
    <row r="300" spans="1:8" x14ac:dyDescent="0.2">
      <c r="A300" s="480" t="s">
        <v>311</v>
      </c>
      <c r="B300" s="479">
        <v>44892</v>
      </c>
      <c r="C300" s="481" t="s">
        <v>11</v>
      </c>
      <c r="D300" s="481">
        <v>2</v>
      </c>
      <c r="E300" s="481" t="s">
        <v>0</v>
      </c>
      <c r="F300" s="481">
        <v>3</v>
      </c>
      <c r="G300" s="481" t="s">
        <v>7</v>
      </c>
      <c r="H300" s="481" t="s">
        <v>228</v>
      </c>
    </row>
    <row r="301" spans="1:8" x14ac:dyDescent="0.2">
      <c r="A301" s="480" t="s">
        <v>316</v>
      </c>
      <c r="B301" s="479">
        <v>44892</v>
      </c>
      <c r="C301" s="481" t="s">
        <v>104</v>
      </c>
      <c r="D301" s="481">
        <v>3</v>
      </c>
      <c r="E301" s="481" t="s">
        <v>0</v>
      </c>
      <c r="F301" s="481">
        <v>1</v>
      </c>
      <c r="G301" s="481" t="s">
        <v>126</v>
      </c>
      <c r="H301" s="481" t="s">
        <v>228</v>
      </c>
    </row>
    <row r="302" spans="1:8" x14ac:dyDescent="0.2">
      <c r="A302" s="480" t="s">
        <v>317</v>
      </c>
      <c r="B302" s="479">
        <v>44892</v>
      </c>
      <c r="C302" s="481" t="s">
        <v>70</v>
      </c>
      <c r="D302" s="481">
        <v>2</v>
      </c>
      <c r="E302" s="481" t="s">
        <v>0</v>
      </c>
      <c r="F302" s="481">
        <v>0</v>
      </c>
      <c r="G302" s="481" t="s">
        <v>150</v>
      </c>
      <c r="H302" s="481" t="s">
        <v>228</v>
      </c>
    </row>
    <row r="303" spans="1:8" x14ac:dyDescent="0.2">
      <c r="A303" s="480" t="s">
        <v>310</v>
      </c>
      <c r="B303" s="479">
        <v>44892</v>
      </c>
      <c r="C303" s="481" t="s">
        <v>8</v>
      </c>
      <c r="D303" s="481">
        <v>2</v>
      </c>
      <c r="E303" s="481" t="s">
        <v>0</v>
      </c>
      <c r="F303" s="481">
        <v>2</v>
      </c>
      <c r="G303" s="481" t="s">
        <v>160</v>
      </c>
      <c r="H303" s="481" t="s">
        <v>179</v>
      </c>
    </row>
    <row r="304" spans="1:8" x14ac:dyDescent="0.2">
      <c r="A304" s="480" t="s">
        <v>311</v>
      </c>
      <c r="B304" s="479">
        <v>44892</v>
      </c>
      <c r="C304" s="481" t="s">
        <v>11</v>
      </c>
      <c r="D304" s="481">
        <v>2</v>
      </c>
      <c r="E304" s="481" t="s">
        <v>0</v>
      </c>
      <c r="F304" s="481">
        <v>2</v>
      </c>
      <c r="G304" s="481" t="s">
        <v>7</v>
      </c>
      <c r="H304" s="481" t="s">
        <v>179</v>
      </c>
    </row>
    <row r="305" spans="1:8" x14ac:dyDescent="0.2">
      <c r="A305" s="480" t="s">
        <v>316</v>
      </c>
      <c r="B305" s="479">
        <v>44892</v>
      </c>
      <c r="C305" s="481" t="s">
        <v>104</v>
      </c>
      <c r="D305" s="481">
        <v>2</v>
      </c>
      <c r="E305" s="481" t="s">
        <v>0</v>
      </c>
      <c r="F305" s="481">
        <v>0</v>
      </c>
      <c r="G305" s="481" t="s">
        <v>126</v>
      </c>
      <c r="H305" s="481" t="s">
        <v>179</v>
      </c>
    </row>
    <row r="306" spans="1:8" x14ac:dyDescent="0.2">
      <c r="A306" s="480" t="s">
        <v>317</v>
      </c>
      <c r="B306" s="479">
        <v>44892</v>
      </c>
      <c r="C306" s="481" t="s">
        <v>70</v>
      </c>
      <c r="D306" s="481">
        <v>2</v>
      </c>
      <c r="E306" s="481" t="s">
        <v>0</v>
      </c>
      <c r="F306" s="481">
        <v>2</v>
      </c>
      <c r="G306" s="481" t="s">
        <v>150</v>
      </c>
      <c r="H306" s="481" t="s">
        <v>179</v>
      </c>
    </row>
    <row r="307" spans="1:8" x14ac:dyDescent="0.2">
      <c r="A307" s="480" t="s">
        <v>310</v>
      </c>
      <c r="B307" s="479">
        <v>44892</v>
      </c>
      <c r="C307" s="481" t="s">
        <v>8</v>
      </c>
      <c r="D307" s="481">
        <v>2</v>
      </c>
      <c r="E307" s="481" t="s">
        <v>0</v>
      </c>
      <c r="F307" s="481">
        <v>2</v>
      </c>
      <c r="G307" s="481" t="s">
        <v>160</v>
      </c>
      <c r="H307" s="481" t="s">
        <v>223</v>
      </c>
    </row>
    <row r="308" spans="1:8" x14ac:dyDescent="0.2">
      <c r="A308" s="480" t="s">
        <v>311</v>
      </c>
      <c r="B308" s="479">
        <v>44892</v>
      </c>
      <c r="C308" s="481" t="s">
        <v>11</v>
      </c>
      <c r="D308" s="481">
        <v>3</v>
      </c>
      <c r="E308" s="481" t="s">
        <v>0</v>
      </c>
      <c r="F308" s="481">
        <v>4</v>
      </c>
      <c r="G308" s="481" t="s">
        <v>7</v>
      </c>
      <c r="H308" s="481" t="s">
        <v>223</v>
      </c>
    </row>
    <row r="309" spans="1:8" x14ac:dyDescent="0.2">
      <c r="A309" s="480" t="s">
        <v>316</v>
      </c>
      <c r="B309" s="479">
        <v>44892</v>
      </c>
      <c r="C309" s="481" t="s">
        <v>104</v>
      </c>
      <c r="D309" s="481">
        <v>2</v>
      </c>
      <c r="E309" s="481" t="s">
        <v>0</v>
      </c>
      <c r="F309" s="481">
        <v>0</v>
      </c>
      <c r="G309" s="481" t="s">
        <v>126</v>
      </c>
      <c r="H309" s="481" t="s">
        <v>223</v>
      </c>
    </row>
    <row r="310" spans="1:8" x14ac:dyDescent="0.2">
      <c r="A310" s="480" t="s">
        <v>317</v>
      </c>
      <c r="B310" s="479">
        <v>44892</v>
      </c>
      <c r="C310" s="481" t="s">
        <v>70</v>
      </c>
      <c r="D310" s="481">
        <v>3</v>
      </c>
      <c r="E310" s="481" t="s">
        <v>0</v>
      </c>
      <c r="F310" s="481">
        <v>2</v>
      </c>
      <c r="G310" s="481" t="s">
        <v>150</v>
      </c>
      <c r="H310" s="481" t="s">
        <v>223</v>
      </c>
    </row>
    <row r="311" spans="1:8" x14ac:dyDescent="0.2">
      <c r="A311" s="480" t="s">
        <v>310</v>
      </c>
      <c r="B311" s="479">
        <v>44892</v>
      </c>
      <c r="C311" s="481" t="s">
        <v>8</v>
      </c>
      <c r="D311" s="481">
        <v>1</v>
      </c>
      <c r="E311" s="481" t="s">
        <v>0</v>
      </c>
      <c r="F311" s="481">
        <v>1</v>
      </c>
      <c r="G311" s="481" t="s">
        <v>160</v>
      </c>
      <c r="H311" s="481" t="s">
        <v>186</v>
      </c>
    </row>
    <row r="312" spans="1:8" x14ac:dyDescent="0.2">
      <c r="A312" s="480" t="s">
        <v>311</v>
      </c>
      <c r="B312" s="479">
        <v>44892</v>
      </c>
      <c r="C312" s="481" t="s">
        <v>11</v>
      </c>
      <c r="D312" s="481">
        <v>1</v>
      </c>
      <c r="E312" s="481" t="s">
        <v>0</v>
      </c>
      <c r="F312" s="481">
        <v>2</v>
      </c>
      <c r="G312" s="481" t="s">
        <v>7</v>
      </c>
      <c r="H312" s="481" t="s">
        <v>186</v>
      </c>
    </row>
    <row r="313" spans="1:8" x14ac:dyDescent="0.2">
      <c r="A313" s="480" t="s">
        <v>316</v>
      </c>
      <c r="B313" s="479">
        <v>44892</v>
      </c>
      <c r="C313" s="481" t="s">
        <v>104</v>
      </c>
      <c r="D313" s="481">
        <v>2</v>
      </c>
      <c r="E313" s="481" t="s">
        <v>0</v>
      </c>
      <c r="F313" s="481">
        <v>0</v>
      </c>
      <c r="G313" s="481" t="s">
        <v>126</v>
      </c>
      <c r="H313" s="481" t="s">
        <v>186</v>
      </c>
    </row>
    <row r="314" spans="1:8" x14ac:dyDescent="0.2">
      <c r="A314" s="480" t="s">
        <v>317</v>
      </c>
      <c r="B314" s="479">
        <v>44892</v>
      </c>
      <c r="C314" s="481" t="s">
        <v>70</v>
      </c>
      <c r="D314" s="481">
        <v>2</v>
      </c>
      <c r="E314" s="481" t="s">
        <v>0</v>
      </c>
      <c r="F314" s="481">
        <v>0</v>
      </c>
      <c r="G314" s="481" t="s">
        <v>150</v>
      </c>
      <c r="H314" s="481" t="s">
        <v>186</v>
      </c>
    </row>
    <row r="315" spans="1:8" x14ac:dyDescent="0.2">
      <c r="A315" s="480" t="s">
        <v>310</v>
      </c>
      <c r="B315" s="479">
        <v>44892</v>
      </c>
      <c r="C315" s="481" t="s">
        <v>8</v>
      </c>
      <c r="D315" s="481">
        <v>2</v>
      </c>
      <c r="E315" s="481" t="s">
        <v>0</v>
      </c>
      <c r="F315" s="481">
        <v>2</v>
      </c>
      <c r="G315" s="481" t="s">
        <v>160</v>
      </c>
      <c r="H315" s="481" t="s">
        <v>180</v>
      </c>
    </row>
    <row r="316" spans="1:8" x14ac:dyDescent="0.2">
      <c r="A316" s="480" t="s">
        <v>311</v>
      </c>
      <c r="B316" s="479">
        <v>44892</v>
      </c>
      <c r="C316" s="481" t="s">
        <v>11</v>
      </c>
      <c r="D316" s="481">
        <v>1</v>
      </c>
      <c r="E316" s="481" t="s">
        <v>0</v>
      </c>
      <c r="F316" s="481">
        <v>1</v>
      </c>
      <c r="G316" s="481" t="s">
        <v>7</v>
      </c>
      <c r="H316" s="481" t="s">
        <v>180</v>
      </c>
    </row>
    <row r="317" spans="1:8" x14ac:dyDescent="0.2">
      <c r="A317" s="480" t="s">
        <v>316</v>
      </c>
      <c r="B317" s="479">
        <v>44892</v>
      </c>
      <c r="C317" s="481" t="s">
        <v>104</v>
      </c>
      <c r="D317" s="481">
        <v>1</v>
      </c>
      <c r="E317" s="481" t="s">
        <v>0</v>
      </c>
      <c r="F317" s="481">
        <v>0</v>
      </c>
      <c r="G317" s="481" t="s">
        <v>126</v>
      </c>
      <c r="H317" s="481" t="s">
        <v>180</v>
      </c>
    </row>
    <row r="318" spans="1:8" x14ac:dyDescent="0.2">
      <c r="A318" s="480" t="s">
        <v>317</v>
      </c>
      <c r="B318" s="479">
        <v>44892</v>
      </c>
      <c r="C318" s="481" t="s">
        <v>70</v>
      </c>
      <c r="D318" s="481">
        <v>2</v>
      </c>
      <c r="E318" s="481" t="s">
        <v>0</v>
      </c>
      <c r="F318" s="481">
        <v>1</v>
      </c>
      <c r="G318" s="481" t="s">
        <v>150</v>
      </c>
      <c r="H318" s="481" t="s">
        <v>180</v>
      </c>
    </row>
    <row r="319" spans="1:8" x14ac:dyDescent="0.2">
      <c r="A319" s="480" t="s">
        <v>310</v>
      </c>
      <c r="B319" s="479">
        <v>44892</v>
      </c>
      <c r="C319" s="481" t="s">
        <v>8</v>
      </c>
      <c r="D319" s="481">
        <v>1</v>
      </c>
      <c r="E319" s="481" t="s">
        <v>0</v>
      </c>
      <c r="F319" s="481">
        <v>0</v>
      </c>
      <c r="G319" s="481" t="s">
        <v>160</v>
      </c>
      <c r="H319" s="481" t="s">
        <v>225</v>
      </c>
    </row>
    <row r="320" spans="1:8" x14ac:dyDescent="0.2">
      <c r="A320" s="480" t="s">
        <v>311</v>
      </c>
      <c r="B320" s="479">
        <v>44892</v>
      </c>
      <c r="C320" s="481" t="s">
        <v>11</v>
      </c>
      <c r="D320" s="481">
        <v>2</v>
      </c>
      <c r="E320" s="481" t="s">
        <v>0</v>
      </c>
      <c r="F320" s="481">
        <v>2</v>
      </c>
      <c r="G320" s="481" t="s">
        <v>7</v>
      </c>
      <c r="H320" s="481" t="s">
        <v>225</v>
      </c>
    </row>
    <row r="321" spans="1:8" x14ac:dyDescent="0.2">
      <c r="A321" s="480" t="s">
        <v>316</v>
      </c>
      <c r="B321" s="479">
        <v>44892</v>
      </c>
      <c r="C321" s="481" t="s">
        <v>104</v>
      </c>
      <c r="D321" s="481">
        <v>2</v>
      </c>
      <c r="E321" s="481" t="s">
        <v>0</v>
      </c>
      <c r="F321" s="481">
        <v>0</v>
      </c>
      <c r="G321" s="481" t="s">
        <v>126</v>
      </c>
      <c r="H321" s="481" t="s">
        <v>225</v>
      </c>
    </row>
    <row r="322" spans="1:8" x14ac:dyDescent="0.2">
      <c r="A322" s="480" t="s">
        <v>317</v>
      </c>
      <c r="B322" s="479">
        <v>44892</v>
      </c>
      <c r="C322" s="481" t="s">
        <v>70</v>
      </c>
      <c r="D322" s="481">
        <v>2</v>
      </c>
      <c r="E322" s="481" t="s">
        <v>0</v>
      </c>
      <c r="F322" s="481">
        <v>1</v>
      </c>
      <c r="G322" s="481" t="s">
        <v>150</v>
      </c>
      <c r="H322" s="481" t="s">
        <v>225</v>
      </c>
    </row>
    <row r="323" spans="1:8" x14ac:dyDescent="0.2">
      <c r="A323" s="480" t="s">
        <v>310</v>
      </c>
      <c r="B323" s="479">
        <v>44892</v>
      </c>
      <c r="C323" s="481" t="s">
        <v>8</v>
      </c>
      <c r="D323" s="481">
        <v>1</v>
      </c>
      <c r="E323" s="481" t="s">
        <v>0</v>
      </c>
      <c r="F323" s="481">
        <v>1</v>
      </c>
      <c r="G323" s="481" t="s">
        <v>160</v>
      </c>
      <c r="H323" s="481" t="s">
        <v>224</v>
      </c>
    </row>
    <row r="324" spans="1:8" x14ac:dyDescent="0.2">
      <c r="A324" s="480" t="s">
        <v>311</v>
      </c>
      <c r="B324" s="479">
        <v>44892</v>
      </c>
      <c r="C324" s="481" t="s">
        <v>11</v>
      </c>
      <c r="D324" s="481">
        <v>2</v>
      </c>
      <c r="E324" s="481" t="s">
        <v>0</v>
      </c>
      <c r="F324" s="481">
        <v>1</v>
      </c>
      <c r="G324" s="481" t="s">
        <v>7</v>
      </c>
      <c r="H324" s="481" t="s">
        <v>224</v>
      </c>
    </row>
    <row r="325" spans="1:8" x14ac:dyDescent="0.2">
      <c r="A325" s="480" t="s">
        <v>316</v>
      </c>
      <c r="B325" s="479">
        <v>44892</v>
      </c>
      <c r="C325" s="481" t="s">
        <v>104</v>
      </c>
      <c r="D325" s="481">
        <v>2</v>
      </c>
      <c r="E325" s="481" t="s">
        <v>0</v>
      </c>
      <c r="F325" s="481">
        <v>1</v>
      </c>
      <c r="G325" s="481" t="s">
        <v>126</v>
      </c>
      <c r="H325" s="481" t="s">
        <v>224</v>
      </c>
    </row>
    <row r="326" spans="1:8" x14ac:dyDescent="0.2">
      <c r="A326" s="480" t="s">
        <v>317</v>
      </c>
      <c r="B326" s="479">
        <v>44892</v>
      </c>
      <c r="C326" s="481" t="s">
        <v>70</v>
      </c>
      <c r="D326" s="481">
        <v>3</v>
      </c>
      <c r="E326" s="481" t="s">
        <v>0</v>
      </c>
      <c r="F326" s="481">
        <v>0</v>
      </c>
      <c r="G326" s="481" t="s">
        <v>150</v>
      </c>
      <c r="H326" s="481" t="s">
        <v>224</v>
      </c>
    </row>
    <row r="327" spans="1:8" x14ac:dyDescent="0.2">
      <c r="A327" s="480" t="s">
        <v>310</v>
      </c>
      <c r="B327" s="479">
        <v>44892</v>
      </c>
      <c r="C327" s="481" t="s">
        <v>8</v>
      </c>
      <c r="D327" s="481">
        <v>0</v>
      </c>
      <c r="E327" s="481" t="s">
        <v>0</v>
      </c>
      <c r="F327" s="481">
        <v>0</v>
      </c>
      <c r="G327" s="481" t="s">
        <v>160</v>
      </c>
      <c r="H327" s="481" t="s">
        <v>181</v>
      </c>
    </row>
    <row r="328" spans="1:8" x14ac:dyDescent="0.2">
      <c r="A328" s="480" t="s">
        <v>311</v>
      </c>
      <c r="B328" s="479">
        <v>44892</v>
      </c>
      <c r="C328" s="481" t="s">
        <v>11</v>
      </c>
      <c r="D328" s="481">
        <v>0</v>
      </c>
      <c r="E328" s="481" t="s">
        <v>0</v>
      </c>
      <c r="F328" s="481">
        <v>1</v>
      </c>
      <c r="G328" s="481" t="s">
        <v>7</v>
      </c>
      <c r="H328" s="481" t="s">
        <v>181</v>
      </c>
    </row>
    <row r="329" spans="1:8" x14ac:dyDescent="0.2">
      <c r="A329" s="480" t="s">
        <v>316</v>
      </c>
      <c r="B329" s="479">
        <v>44892</v>
      </c>
      <c r="C329" s="481" t="s">
        <v>104</v>
      </c>
      <c r="D329" s="481">
        <v>2</v>
      </c>
      <c r="E329" s="481" t="s">
        <v>0</v>
      </c>
      <c r="F329" s="481">
        <v>0</v>
      </c>
      <c r="G329" s="481" t="s">
        <v>126</v>
      </c>
      <c r="H329" s="481" t="s">
        <v>181</v>
      </c>
    </row>
    <row r="330" spans="1:8" x14ac:dyDescent="0.2">
      <c r="A330" s="480" t="s">
        <v>317</v>
      </c>
      <c r="B330" s="479">
        <v>44892</v>
      </c>
      <c r="C330" s="481" t="s">
        <v>70</v>
      </c>
      <c r="D330" s="481">
        <v>1</v>
      </c>
      <c r="E330" s="481" t="s">
        <v>0</v>
      </c>
      <c r="F330" s="481">
        <v>0</v>
      </c>
      <c r="G330" s="481" t="s">
        <v>150</v>
      </c>
      <c r="H330" s="481" t="s">
        <v>181</v>
      </c>
    </row>
    <row r="331" spans="1:8" x14ac:dyDescent="0.2">
      <c r="A331" s="480" t="s">
        <v>310</v>
      </c>
      <c r="B331" s="479">
        <v>44892</v>
      </c>
      <c r="C331" s="481" t="s">
        <v>8</v>
      </c>
      <c r="D331" s="481">
        <v>1</v>
      </c>
      <c r="E331" s="481" t="s">
        <v>0</v>
      </c>
      <c r="F331" s="481">
        <v>1</v>
      </c>
      <c r="G331" s="481" t="s">
        <v>160</v>
      </c>
      <c r="H331" s="481" t="s">
        <v>177</v>
      </c>
    </row>
    <row r="332" spans="1:8" x14ac:dyDescent="0.2">
      <c r="A332" s="480" t="s">
        <v>311</v>
      </c>
      <c r="B332" s="479">
        <v>44892</v>
      </c>
      <c r="C332" s="481" t="s">
        <v>11</v>
      </c>
      <c r="D332" s="481">
        <v>2</v>
      </c>
      <c r="E332" s="481" t="s">
        <v>0</v>
      </c>
      <c r="F332" s="481">
        <v>2</v>
      </c>
      <c r="G332" s="481" t="s">
        <v>7</v>
      </c>
      <c r="H332" s="481" t="s">
        <v>177</v>
      </c>
    </row>
    <row r="333" spans="1:8" x14ac:dyDescent="0.2">
      <c r="A333" s="480" t="s">
        <v>316</v>
      </c>
      <c r="B333" s="479">
        <v>44892</v>
      </c>
      <c r="C333" s="481" t="s">
        <v>104</v>
      </c>
      <c r="D333" s="481">
        <v>3</v>
      </c>
      <c r="E333" s="481" t="s">
        <v>0</v>
      </c>
      <c r="F333" s="481">
        <v>0</v>
      </c>
      <c r="G333" s="481" t="s">
        <v>126</v>
      </c>
      <c r="H333" s="481" t="s">
        <v>177</v>
      </c>
    </row>
    <row r="334" spans="1:8" x14ac:dyDescent="0.2">
      <c r="A334" s="480" t="s">
        <v>317</v>
      </c>
      <c r="B334" s="479">
        <v>44892</v>
      </c>
      <c r="C334" s="481" t="s">
        <v>70</v>
      </c>
      <c r="D334" s="481">
        <v>1</v>
      </c>
      <c r="E334" s="481" t="s">
        <v>0</v>
      </c>
      <c r="F334" s="481">
        <v>0</v>
      </c>
      <c r="G334" s="481" t="s">
        <v>150</v>
      </c>
      <c r="H334" s="481" t="s">
        <v>177</v>
      </c>
    </row>
    <row r="335" spans="1:8" x14ac:dyDescent="0.2">
      <c r="A335" s="480" t="s">
        <v>310</v>
      </c>
      <c r="B335" s="479">
        <v>44892</v>
      </c>
      <c r="C335" s="481" t="s">
        <v>8</v>
      </c>
      <c r="D335" s="481">
        <v>1</v>
      </c>
      <c r="E335" s="481" t="s">
        <v>0</v>
      </c>
      <c r="F335" s="481">
        <v>0</v>
      </c>
      <c r="G335" s="481" t="s">
        <v>160</v>
      </c>
      <c r="H335" s="481" t="s">
        <v>184</v>
      </c>
    </row>
    <row r="336" spans="1:8" x14ac:dyDescent="0.2">
      <c r="A336" s="480" t="s">
        <v>311</v>
      </c>
      <c r="B336" s="479">
        <v>44892</v>
      </c>
      <c r="C336" s="481" t="s">
        <v>11</v>
      </c>
      <c r="D336" s="481">
        <v>1</v>
      </c>
      <c r="E336" s="481" t="s">
        <v>0</v>
      </c>
      <c r="F336" s="481">
        <v>2</v>
      </c>
      <c r="G336" s="481" t="s">
        <v>7</v>
      </c>
      <c r="H336" s="481" t="s">
        <v>184</v>
      </c>
    </row>
    <row r="337" spans="1:8" x14ac:dyDescent="0.2">
      <c r="A337" s="480" t="s">
        <v>316</v>
      </c>
      <c r="B337" s="479">
        <v>44892</v>
      </c>
      <c r="C337" s="481" t="s">
        <v>104</v>
      </c>
      <c r="D337" s="481">
        <v>4</v>
      </c>
      <c r="E337" s="481" t="s">
        <v>0</v>
      </c>
      <c r="F337" s="481">
        <v>0</v>
      </c>
      <c r="G337" s="481" t="s">
        <v>126</v>
      </c>
      <c r="H337" s="481" t="s">
        <v>184</v>
      </c>
    </row>
    <row r="338" spans="1:8" x14ac:dyDescent="0.2">
      <c r="A338" s="480" t="s">
        <v>317</v>
      </c>
      <c r="B338" s="479">
        <v>44892</v>
      </c>
      <c r="C338" s="481" t="s">
        <v>70</v>
      </c>
      <c r="D338" s="481">
        <v>2</v>
      </c>
      <c r="E338" s="481" t="s">
        <v>0</v>
      </c>
      <c r="F338" s="481">
        <v>1</v>
      </c>
      <c r="G338" s="481" t="s">
        <v>150</v>
      </c>
      <c r="H338" s="481" t="s">
        <v>184</v>
      </c>
    </row>
    <row r="339" spans="1:8" x14ac:dyDescent="0.2">
      <c r="A339" s="480" t="s">
        <v>310</v>
      </c>
      <c r="B339" s="479">
        <v>44892</v>
      </c>
      <c r="C339" s="481" t="s">
        <v>8</v>
      </c>
      <c r="D339" s="481">
        <v>2</v>
      </c>
      <c r="E339" s="481" t="s">
        <v>0</v>
      </c>
      <c r="F339" s="481">
        <v>1</v>
      </c>
      <c r="G339" s="481" t="s">
        <v>160</v>
      </c>
      <c r="H339" s="481" t="s">
        <v>227</v>
      </c>
    </row>
    <row r="340" spans="1:8" x14ac:dyDescent="0.2">
      <c r="A340" s="480" t="s">
        <v>311</v>
      </c>
      <c r="B340" s="479">
        <v>44892</v>
      </c>
      <c r="C340" s="481" t="s">
        <v>11</v>
      </c>
      <c r="D340" s="481">
        <v>1</v>
      </c>
      <c r="E340" s="481" t="s">
        <v>0</v>
      </c>
      <c r="F340" s="481">
        <v>1</v>
      </c>
      <c r="G340" s="481" t="s">
        <v>7</v>
      </c>
      <c r="H340" s="481" t="s">
        <v>227</v>
      </c>
    </row>
    <row r="341" spans="1:8" x14ac:dyDescent="0.2">
      <c r="A341" s="480" t="s">
        <v>316</v>
      </c>
      <c r="B341" s="479">
        <v>44892</v>
      </c>
      <c r="C341" s="481" t="s">
        <v>104</v>
      </c>
      <c r="D341" s="481">
        <v>2</v>
      </c>
      <c r="E341" s="481" t="s">
        <v>0</v>
      </c>
      <c r="F341" s="481">
        <v>1</v>
      </c>
      <c r="G341" s="481" t="s">
        <v>126</v>
      </c>
      <c r="H341" s="481" t="s">
        <v>227</v>
      </c>
    </row>
    <row r="342" spans="1:8" x14ac:dyDescent="0.2">
      <c r="A342" s="480" t="s">
        <v>317</v>
      </c>
      <c r="B342" s="479">
        <v>44892</v>
      </c>
      <c r="C342" s="481" t="s">
        <v>70</v>
      </c>
      <c r="D342" s="481">
        <v>2</v>
      </c>
      <c r="E342" s="481" t="s">
        <v>0</v>
      </c>
      <c r="F342" s="481">
        <v>0</v>
      </c>
      <c r="G342" s="481" t="s">
        <v>150</v>
      </c>
      <c r="H342" s="481" t="s">
        <v>227</v>
      </c>
    </row>
    <row r="343" spans="1:8" x14ac:dyDescent="0.2">
      <c r="A343" s="480" t="s">
        <v>310</v>
      </c>
      <c r="B343" s="479">
        <v>44892</v>
      </c>
      <c r="C343" s="481" t="s">
        <v>8</v>
      </c>
      <c r="D343" s="481">
        <v>2</v>
      </c>
      <c r="E343" s="481" t="s">
        <v>0</v>
      </c>
      <c r="F343" s="481">
        <v>2</v>
      </c>
      <c r="G343" s="481" t="s">
        <v>160</v>
      </c>
      <c r="H343" s="481" t="s">
        <v>183</v>
      </c>
    </row>
    <row r="344" spans="1:8" x14ac:dyDescent="0.2">
      <c r="A344" s="480" t="s">
        <v>311</v>
      </c>
      <c r="B344" s="479">
        <v>44892</v>
      </c>
      <c r="C344" s="481" t="s">
        <v>11</v>
      </c>
      <c r="D344" s="481">
        <v>1</v>
      </c>
      <c r="E344" s="481" t="s">
        <v>0</v>
      </c>
      <c r="F344" s="481">
        <v>0</v>
      </c>
      <c r="G344" s="481" t="s">
        <v>7</v>
      </c>
      <c r="H344" s="481" t="s">
        <v>183</v>
      </c>
    </row>
    <row r="345" spans="1:8" x14ac:dyDescent="0.2">
      <c r="A345" s="480" t="s">
        <v>316</v>
      </c>
      <c r="B345" s="479">
        <v>44892</v>
      </c>
      <c r="C345" s="481" t="s">
        <v>104</v>
      </c>
      <c r="D345" s="481">
        <v>2</v>
      </c>
      <c r="E345" s="481" t="s">
        <v>0</v>
      </c>
      <c r="F345" s="481">
        <v>1</v>
      </c>
      <c r="G345" s="481" t="s">
        <v>126</v>
      </c>
      <c r="H345" s="481" t="s">
        <v>183</v>
      </c>
    </row>
    <row r="346" spans="1:8" x14ac:dyDescent="0.2">
      <c r="A346" s="480" t="s">
        <v>317</v>
      </c>
      <c r="B346" s="479">
        <v>44892</v>
      </c>
      <c r="C346" s="481" t="s">
        <v>70</v>
      </c>
      <c r="D346" s="481">
        <v>3</v>
      </c>
      <c r="E346" s="481" t="s">
        <v>0</v>
      </c>
      <c r="F346" s="481">
        <v>1</v>
      </c>
      <c r="G346" s="481" t="s">
        <v>150</v>
      </c>
      <c r="H346" s="481" t="s">
        <v>183</v>
      </c>
    </row>
    <row r="347" spans="1:8" x14ac:dyDescent="0.2">
      <c r="A347" s="480" t="s">
        <v>310</v>
      </c>
      <c r="B347" s="479">
        <v>44892</v>
      </c>
      <c r="C347" s="481" t="s">
        <v>8</v>
      </c>
      <c r="D347" s="481">
        <v>1</v>
      </c>
      <c r="E347" s="481" t="s">
        <v>0</v>
      </c>
      <c r="F347" s="481">
        <v>0</v>
      </c>
      <c r="G347" s="481" t="s">
        <v>160</v>
      </c>
      <c r="H347" s="481" t="s">
        <v>185</v>
      </c>
    </row>
    <row r="348" spans="1:8" x14ac:dyDescent="0.2">
      <c r="A348" s="480" t="s">
        <v>311</v>
      </c>
      <c r="B348" s="479">
        <v>44892</v>
      </c>
      <c r="C348" s="481" t="s">
        <v>11</v>
      </c>
      <c r="D348" s="481">
        <v>1</v>
      </c>
      <c r="E348" s="481" t="s">
        <v>0</v>
      </c>
      <c r="F348" s="481">
        <v>2</v>
      </c>
      <c r="G348" s="481" t="s">
        <v>7</v>
      </c>
      <c r="H348" s="481" t="s">
        <v>185</v>
      </c>
    </row>
    <row r="349" spans="1:8" x14ac:dyDescent="0.2">
      <c r="A349" s="480" t="s">
        <v>316</v>
      </c>
      <c r="B349" s="479">
        <v>44892</v>
      </c>
      <c r="C349" s="481" t="s">
        <v>104</v>
      </c>
      <c r="D349" s="481">
        <v>1</v>
      </c>
      <c r="E349" s="481" t="s">
        <v>0</v>
      </c>
      <c r="F349" s="481">
        <v>0</v>
      </c>
      <c r="G349" s="481" t="s">
        <v>126</v>
      </c>
      <c r="H349" s="481" t="s">
        <v>185</v>
      </c>
    </row>
    <row r="350" spans="1:8" x14ac:dyDescent="0.2">
      <c r="A350" s="480" t="s">
        <v>317</v>
      </c>
      <c r="B350" s="479">
        <v>44892</v>
      </c>
      <c r="C350" s="481" t="s">
        <v>70</v>
      </c>
      <c r="D350" s="481">
        <v>1</v>
      </c>
      <c r="E350" s="481" t="s">
        <v>0</v>
      </c>
      <c r="F350" s="481">
        <v>0</v>
      </c>
      <c r="G350" s="481" t="s">
        <v>150</v>
      </c>
      <c r="H350" s="481" t="s">
        <v>185</v>
      </c>
    </row>
    <row r="351" spans="1:8" x14ac:dyDescent="0.2">
      <c r="A351" s="480" t="s">
        <v>310</v>
      </c>
      <c r="B351" s="479">
        <v>44892</v>
      </c>
      <c r="C351" s="481" t="s">
        <v>8</v>
      </c>
      <c r="D351" s="481">
        <v>1</v>
      </c>
      <c r="E351" s="481" t="s">
        <v>0</v>
      </c>
      <c r="F351" s="481">
        <v>1</v>
      </c>
      <c r="G351" s="481" t="s">
        <v>160</v>
      </c>
      <c r="H351" s="481" t="s">
        <v>332</v>
      </c>
    </row>
    <row r="352" spans="1:8" x14ac:dyDescent="0.2">
      <c r="A352" s="480" t="s">
        <v>311</v>
      </c>
      <c r="B352" s="479">
        <v>44892</v>
      </c>
      <c r="C352" s="481" t="s">
        <v>11</v>
      </c>
      <c r="D352" s="481">
        <v>2</v>
      </c>
      <c r="E352" s="481" t="s">
        <v>0</v>
      </c>
      <c r="F352" s="481">
        <v>1</v>
      </c>
      <c r="G352" s="481" t="s">
        <v>7</v>
      </c>
      <c r="H352" s="481" t="s">
        <v>332</v>
      </c>
    </row>
    <row r="353" spans="1:8" x14ac:dyDescent="0.2">
      <c r="A353" s="480" t="s">
        <v>316</v>
      </c>
      <c r="B353" s="479">
        <v>44892</v>
      </c>
      <c r="C353" s="481" t="s">
        <v>104</v>
      </c>
      <c r="D353" s="481">
        <v>3</v>
      </c>
      <c r="E353" s="481" t="s">
        <v>0</v>
      </c>
      <c r="F353" s="481">
        <v>0</v>
      </c>
      <c r="G353" s="481" t="s">
        <v>126</v>
      </c>
      <c r="H353" s="481" t="s">
        <v>332</v>
      </c>
    </row>
    <row r="354" spans="1:8" x14ac:dyDescent="0.2">
      <c r="A354" s="480" t="s">
        <v>317</v>
      </c>
      <c r="B354" s="479">
        <v>44892</v>
      </c>
      <c r="C354" s="481" t="s">
        <v>70</v>
      </c>
      <c r="D354" s="481">
        <v>2</v>
      </c>
      <c r="E354" s="481" t="s">
        <v>0</v>
      </c>
      <c r="F354" s="481">
        <v>0</v>
      </c>
      <c r="G354" s="481" t="s">
        <v>150</v>
      </c>
      <c r="H354" s="481" t="s">
        <v>332</v>
      </c>
    </row>
    <row r="355" spans="1:8" x14ac:dyDescent="0.2">
      <c r="A355" s="480" t="s">
        <v>310</v>
      </c>
      <c r="B355" s="479">
        <v>44892</v>
      </c>
      <c r="C355" s="483" t="s">
        <v>8</v>
      </c>
      <c r="D355" s="483">
        <v>1</v>
      </c>
      <c r="E355" s="483" t="s">
        <v>0</v>
      </c>
      <c r="F355" s="483">
        <v>1</v>
      </c>
      <c r="G355" s="483" t="s">
        <v>160</v>
      </c>
      <c r="H355" s="481" t="s">
        <v>182</v>
      </c>
    </row>
    <row r="356" spans="1:8" x14ac:dyDescent="0.2">
      <c r="A356" s="480" t="s">
        <v>311</v>
      </c>
      <c r="B356" s="479">
        <v>44892</v>
      </c>
      <c r="C356" s="483" t="s">
        <v>11</v>
      </c>
      <c r="D356" s="483">
        <v>1</v>
      </c>
      <c r="E356" s="483" t="s">
        <v>0</v>
      </c>
      <c r="F356" s="483">
        <v>1</v>
      </c>
      <c r="G356" s="483" t="s">
        <v>7</v>
      </c>
      <c r="H356" s="481" t="s">
        <v>182</v>
      </c>
    </row>
    <row r="357" spans="1:8" x14ac:dyDescent="0.2">
      <c r="A357" s="480" t="s">
        <v>316</v>
      </c>
      <c r="B357" s="479">
        <v>44892</v>
      </c>
      <c r="C357" s="483" t="s">
        <v>104</v>
      </c>
      <c r="D357" s="483">
        <v>0</v>
      </c>
      <c r="E357" s="483" t="s">
        <v>0</v>
      </c>
      <c r="F357" s="483">
        <v>0</v>
      </c>
      <c r="G357" s="483" t="s">
        <v>126</v>
      </c>
      <c r="H357" s="481" t="s">
        <v>182</v>
      </c>
    </row>
    <row r="358" spans="1:8" x14ac:dyDescent="0.2">
      <c r="A358" s="480" t="s">
        <v>317</v>
      </c>
      <c r="B358" s="479">
        <v>44892</v>
      </c>
      <c r="C358" s="483" t="s">
        <v>70</v>
      </c>
      <c r="D358" s="483">
        <v>0</v>
      </c>
      <c r="E358" s="483" t="s">
        <v>0</v>
      </c>
      <c r="F358" s="483">
        <v>1</v>
      </c>
      <c r="G358" s="483" t="s">
        <v>150</v>
      </c>
      <c r="H358" s="481" t="s">
        <v>182</v>
      </c>
    </row>
    <row r="359" spans="1:8" x14ac:dyDescent="0.2">
      <c r="A359" s="480" t="s">
        <v>322</v>
      </c>
      <c r="B359" s="479">
        <v>44893</v>
      </c>
      <c r="C359" s="481" t="s">
        <v>151</v>
      </c>
      <c r="D359" s="481">
        <v>1</v>
      </c>
      <c r="E359" s="481" t="s">
        <v>0</v>
      </c>
      <c r="F359" s="481">
        <v>3</v>
      </c>
      <c r="G359" s="481" t="s">
        <v>128</v>
      </c>
      <c r="H359" s="481" t="s">
        <v>176</v>
      </c>
    </row>
    <row r="360" spans="1:8" x14ac:dyDescent="0.2">
      <c r="A360" s="480" t="s">
        <v>323</v>
      </c>
      <c r="B360" s="479">
        <v>44893</v>
      </c>
      <c r="C360" s="481" t="s">
        <v>10</v>
      </c>
      <c r="D360" s="481">
        <v>2</v>
      </c>
      <c r="E360" s="481" t="s">
        <v>0</v>
      </c>
      <c r="F360" s="481">
        <v>1</v>
      </c>
      <c r="G360" s="481" t="s">
        <v>12</v>
      </c>
      <c r="H360" s="481" t="s">
        <v>176</v>
      </c>
    </row>
    <row r="361" spans="1:8" x14ac:dyDescent="0.2">
      <c r="A361" s="480" t="s">
        <v>328</v>
      </c>
      <c r="B361" s="479">
        <v>44893</v>
      </c>
      <c r="C361" s="481" t="s">
        <v>5</v>
      </c>
      <c r="D361" s="481">
        <v>2</v>
      </c>
      <c r="E361" s="481" t="s">
        <v>0</v>
      </c>
      <c r="F361" s="481">
        <v>1</v>
      </c>
      <c r="G361" s="481" t="s">
        <v>152</v>
      </c>
      <c r="H361" s="481" t="s">
        <v>176</v>
      </c>
    </row>
    <row r="362" spans="1:8" x14ac:dyDescent="0.2">
      <c r="A362" s="480" t="s">
        <v>329</v>
      </c>
      <c r="B362" s="479">
        <v>44893</v>
      </c>
      <c r="C362" s="481" t="s">
        <v>9</v>
      </c>
      <c r="D362" s="481">
        <v>0</v>
      </c>
      <c r="E362" s="481" t="s">
        <v>0</v>
      </c>
      <c r="F362" s="481">
        <v>1</v>
      </c>
      <c r="G362" s="481" t="s">
        <v>2</v>
      </c>
      <c r="H362" s="481" t="s">
        <v>176</v>
      </c>
    </row>
    <row r="363" spans="1:8" x14ac:dyDescent="0.2">
      <c r="A363" s="480" t="s">
        <v>322</v>
      </c>
      <c r="B363" s="479">
        <v>44893</v>
      </c>
      <c r="C363" s="481" t="s">
        <v>151</v>
      </c>
      <c r="D363" s="481">
        <v>0</v>
      </c>
      <c r="E363" s="481" t="s">
        <v>0</v>
      </c>
      <c r="F363" s="481">
        <v>0</v>
      </c>
      <c r="G363" s="481" t="s">
        <v>128</v>
      </c>
      <c r="H363" s="481" t="s">
        <v>226</v>
      </c>
    </row>
    <row r="364" spans="1:8" x14ac:dyDescent="0.2">
      <c r="A364" s="480" t="s">
        <v>323</v>
      </c>
      <c r="B364" s="479">
        <v>44893</v>
      </c>
      <c r="C364" s="481" t="s">
        <v>10</v>
      </c>
      <c r="D364" s="481">
        <v>1</v>
      </c>
      <c r="E364" s="481" t="s">
        <v>0</v>
      </c>
      <c r="F364" s="481">
        <v>1</v>
      </c>
      <c r="G364" s="481" t="s">
        <v>12</v>
      </c>
      <c r="H364" s="481" t="s">
        <v>226</v>
      </c>
    </row>
    <row r="365" spans="1:8" x14ac:dyDescent="0.2">
      <c r="A365" s="480" t="s">
        <v>328</v>
      </c>
      <c r="B365" s="479">
        <v>44893</v>
      </c>
      <c r="C365" s="481" t="s">
        <v>5</v>
      </c>
      <c r="D365" s="481">
        <v>1</v>
      </c>
      <c r="E365" s="481" t="s">
        <v>0</v>
      </c>
      <c r="F365" s="481">
        <v>2</v>
      </c>
      <c r="G365" s="481" t="s">
        <v>152</v>
      </c>
      <c r="H365" s="481" t="s">
        <v>226</v>
      </c>
    </row>
    <row r="366" spans="1:8" x14ac:dyDescent="0.2">
      <c r="A366" s="480" t="s">
        <v>329</v>
      </c>
      <c r="B366" s="479">
        <v>44893</v>
      </c>
      <c r="C366" s="481" t="s">
        <v>9</v>
      </c>
      <c r="D366" s="481">
        <v>1</v>
      </c>
      <c r="E366" s="481" t="s">
        <v>0</v>
      </c>
      <c r="F366" s="481">
        <v>1</v>
      </c>
      <c r="G366" s="481" t="s">
        <v>2</v>
      </c>
      <c r="H366" s="481" t="s">
        <v>226</v>
      </c>
    </row>
    <row r="367" spans="1:8" x14ac:dyDescent="0.2">
      <c r="A367" s="480" t="s">
        <v>322</v>
      </c>
      <c r="B367" s="479">
        <v>44893</v>
      </c>
      <c r="C367" s="481" t="s">
        <v>151</v>
      </c>
      <c r="D367" s="481">
        <v>2</v>
      </c>
      <c r="E367" s="481" t="s">
        <v>0</v>
      </c>
      <c r="F367" s="481">
        <v>0</v>
      </c>
      <c r="G367" s="481" t="s">
        <v>128</v>
      </c>
      <c r="H367" s="481" t="s">
        <v>228</v>
      </c>
    </row>
    <row r="368" spans="1:8" x14ac:dyDescent="0.2">
      <c r="A368" s="480" t="s">
        <v>323</v>
      </c>
      <c r="B368" s="479">
        <v>44893</v>
      </c>
      <c r="C368" s="481" t="s">
        <v>10</v>
      </c>
      <c r="D368" s="481">
        <v>3</v>
      </c>
      <c r="E368" s="481" t="s">
        <v>0</v>
      </c>
      <c r="F368" s="481">
        <v>1</v>
      </c>
      <c r="G368" s="481" t="s">
        <v>12</v>
      </c>
      <c r="H368" s="481" t="s">
        <v>228</v>
      </c>
    </row>
    <row r="369" spans="1:8" x14ac:dyDescent="0.2">
      <c r="A369" s="480" t="s">
        <v>328</v>
      </c>
      <c r="B369" s="479">
        <v>44893</v>
      </c>
      <c r="C369" s="481" t="s">
        <v>5</v>
      </c>
      <c r="D369" s="481">
        <v>0</v>
      </c>
      <c r="E369" s="481" t="s">
        <v>0</v>
      </c>
      <c r="F369" s="481">
        <v>2</v>
      </c>
      <c r="G369" s="481" t="s">
        <v>152</v>
      </c>
      <c r="H369" s="481" t="s">
        <v>228</v>
      </c>
    </row>
    <row r="370" spans="1:8" x14ac:dyDescent="0.2">
      <c r="A370" s="480" t="s">
        <v>329</v>
      </c>
      <c r="B370" s="479">
        <v>44893</v>
      </c>
      <c r="C370" s="481" t="s">
        <v>9</v>
      </c>
      <c r="D370" s="481">
        <v>1</v>
      </c>
      <c r="E370" s="481" t="s">
        <v>0</v>
      </c>
      <c r="F370" s="481">
        <v>2</v>
      </c>
      <c r="G370" s="481" t="s">
        <v>2</v>
      </c>
      <c r="H370" s="481" t="s">
        <v>228</v>
      </c>
    </row>
    <row r="371" spans="1:8" x14ac:dyDescent="0.2">
      <c r="A371" s="480" t="s">
        <v>322</v>
      </c>
      <c r="B371" s="479">
        <v>44893</v>
      </c>
      <c r="C371" s="481" t="s">
        <v>151</v>
      </c>
      <c r="D371" s="481">
        <v>2</v>
      </c>
      <c r="E371" s="481" t="s">
        <v>0</v>
      </c>
      <c r="F371" s="481">
        <v>0</v>
      </c>
      <c r="G371" s="481" t="s">
        <v>128</v>
      </c>
      <c r="H371" s="481" t="s">
        <v>179</v>
      </c>
    </row>
    <row r="372" spans="1:8" x14ac:dyDescent="0.2">
      <c r="A372" s="480" t="s">
        <v>323</v>
      </c>
      <c r="B372" s="479">
        <v>44893</v>
      </c>
      <c r="C372" s="481" t="s">
        <v>10</v>
      </c>
      <c r="D372" s="481">
        <v>2</v>
      </c>
      <c r="E372" s="481" t="s">
        <v>0</v>
      </c>
      <c r="F372" s="481">
        <v>1</v>
      </c>
      <c r="G372" s="481" t="s">
        <v>12</v>
      </c>
      <c r="H372" s="481" t="s">
        <v>179</v>
      </c>
    </row>
    <row r="373" spans="1:8" x14ac:dyDescent="0.2">
      <c r="A373" s="480" t="s">
        <v>328</v>
      </c>
      <c r="B373" s="479">
        <v>44893</v>
      </c>
      <c r="C373" s="481" t="s">
        <v>5</v>
      </c>
      <c r="D373" s="481">
        <v>1</v>
      </c>
      <c r="E373" s="481" t="s">
        <v>0</v>
      </c>
      <c r="F373" s="481">
        <v>1</v>
      </c>
      <c r="G373" s="481" t="s">
        <v>152</v>
      </c>
      <c r="H373" s="481" t="s">
        <v>179</v>
      </c>
    </row>
    <row r="374" spans="1:8" x14ac:dyDescent="0.2">
      <c r="A374" s="480" t="s">
        <v>329</v>
      </c>
      <c r="B374" s="479">
        <v>44893</v>
      </c>
      <c r="C374" s="481" t="s">
        <v>9</v>
      </c>
      <c r="D374" s="481">
        <v>1</v>
      </c>
      <c r="E374" s="481" t="s">
        <v>0</v>
      </c>
      <c r="F374" s="481">
        <v>2</v>
      </c>
      <c r="G374" s="481" t="s">
        <v>2</v>
      </c>
      <c r="H374" s="481" t="s">
        <v>179</v>
      </c>
    </row>
    <row r="375" spans="1:8" x14ac:dyDescent="0.2">
      <c r="A375" s="480" t="s">
        <v>322</v>
      </c>
      <c r="B375" s="479">
        <v>44893</v>
      </c>
      <c r="C375" s="481" t="s">
        <v>151</v>
      </c>
      <c r="D375" s="481">
        <v>2</v>
      </c>
      <c r="E375" s="481" t="s">
        <v>0</v>
      </c>
      <c r="F375" s="481">
        <v>1</v>
      </c>
      <c r="G375" s="481" t="s">
        <v>128</v>
      </c>
      <c r="H375" s="481" t="s">
        <v>223</v>
      </c>
    </row>
    <row r="376" spans="1:8" x14ac:dyDescent="0.2">
      <c r="A376" s="480" t="s">
        <v>323</v>
      </c>
      <c r="B376" s="479">
        <v>44893</v>
      </c>
      <c r="C376" s="481" t="s">
        <v>10</v>
      </c>
      <c r="D376" s="481">
        <v>3</v>
      </c>
      <c r="E376" s="481" t="s">
        <v>0</v>
      </c>
      <c r="F376" s="481">
        <v>2</v>
      </c>
      <c r="G376" s="481" t="s">
        <v>12</v>
      </c>
      <c r="H376" s="481" t="s">
        <v>223</v>
      </c>
    </row>
    <row r="377" spans="1:8" x14ac:dyDescent="0.2">
      <c r="A377" s="480" t="s">
        <v>328</v>
      </c>
      <c r="B377" s="479">
        <v>44893</v>
      </c>
      <c r="C377" s="481" t="s">
        <v>5</v>
      </c>
      <c r="D377" s="481">
        <v>1</v>
      </c>
      <c r="E377" s="481" t="s">
        <v>0</v>
      </c>
      <c r="F377" s="481">
        <v>3</v>
      </c>
      <c r="G377" s="481" t="s">
        <v>152</v>
      </c>
      <c r="H377" s="481" t="s">
        <v>223</v>
      </c>
    </row>
    <row r="378" spans="1:8" x14ac:dyDescent="0.2">
      <c r="A378" s="480" t="s">
        <v>329</v>
      </c>
      <c r="B378" s="479">
        <v>44893</v>
      </c>
      <c r="C378" s="481" t="s">
        <v>9</v>
      </c>
      <c r="D378" s="481">
        <v>3</v>
      </c>
      <c r="E378" s="481" t="s">
        <v>0</v>
      </c>
      <c r="F378" s="481">
        <v>2</v>
      </c>
      <c r="G378" s="481" t="s">
        <v>2</v>
      </c>
      <c r="H378" s="481" t="s">
        <v>223</v>
      </c>
    </row>
    <row r="379" spans="1:8" x14ac:dyDescent="0.2">
      <c r="A379" s="480" t="s">
        <v>322</v>
      </c>
      <c r="B379" s="479">
        <v>44893</v>
      </c>
      <c r="C379" s="481" t="s">
        <v>151</v>
      </c>
      <c r="D379" s="481">
        <v>0</v>
      </c>
      <c r="E379" s="481" t="s">
        <v>0</v>
      </c>
      <c r="F379" s="481">
        <v>1</v>
      </c>
      <c r="G379" s="481" t="s">
        <v>128</v>
      </c>
      <c r="H379" s="481" t="s">
        <v>186</v>
      </c>
    </row>
    <row r="380" spans="1:8" x14ac:dyDescent="0.2">
      <c r="A380" s="480" t="s">
        <v>323</v>
      </c>
      <c r="B380" s="479">
        <v>44893</v>
      </c>
      <c r="C380" s="481" t="s">
        <v>10</v>
      </c>
      <c r="D380" s="481">
        <v>1</v>
      </c>
      <c r="E380" s="481" t="s">
        <v>0</v>
      </c>
      <c r="F380" s="481">
        <v>0</v>
      </c>
      <c r="G380" s="481" t="s">
        <v>12</v>
      </c>
      <c r="H380" s="481" t="s">
        <v>186</v>
      </c>
    </row>
    <row r="381" spans="1:8" x14ac:dyDescent="0.2">
      <c r="A381" s="480" t="s">
        <v>328</v>
      </c>
      <c r="B381" s="479">
        <v>44893</v>
      </c>
      <c r="C381" s="481" t="s">
        <v>5</v>
      </c>
      <c r="D381" s="481">
        <v>1</v>
      </c>
      <c r="E381" s="481" t="s">
        <v>0</v>
      </c>
      <c r="F381" s="481">
        <v>2</v>
      </c>
      <c r="G381" s="481" t="s">
        <v>152</v>
      </c>
      <c r="H381" s="481" t="s">
        <v>186</v>
      </c>
    </row>
    <row r="382" spans="1:8" x14ac:dyDescent="0.2">
      <c r="A382" s="480" t="s">
        <v>329</v>
      </c>
      <c r="B382" s="479">
        <v>44893</v>
      </c>
      <c r="C382" s="481" t="s">
        <v>9</v>
      </c>
      <c r="D382" s="481">
        <v>1</v>
      </c>
      <c r="E382" s="481" t="s">
        <v>0</v>
      </c>
      <c r="F382" s="481">
        <v>1</v>
      </c>
      <c r="G382" s="481" t="s">
        <v>2</v>
      </c>
      <c r="H382" s="481" t="s">
        <v>186</v>
      </c>
    </row>
    <row r="383" spans="1:8" x14ac:dyDescent="0.2">
      <c r="A383" s="480" t="s">
        <v>322</v>
      </c>
      <c r="B383" s="479">
        <v>44893</v>
      </c>
      <c r="C383" s="481" t="s">
        <v>151</v>
      </c>
      <c r="D383" s="481">
        <v>0</v>
      </c>
      <c r="E383" s="481" t="s">
        <v>0</v>
      </c>
      <c r="F383" s="481">
        <v>1</v>
      </c>
      <c r="G383" s="481" t="s">
        <v>128</v>
      </c>
      <c r="H383" s="481" t="s">
        <v>180</v>
      </c>
    </row>
    <row r="384" spans="1:8" x14ac:dyDescent="0.2">
      <c r="A384" s="480" t="s">
        <v>323</v>
      </c>
      <c r="B384" s="479">
        <v>44893</v>
      </c>
      <c r="C384" s="481" t="s">
        <v>10</v>
      </c>
      <c r="D384" s="481">
        <v>1</v>
      </c>
      <c r="E384" s="481" t="s">
        <v>0</v>
      </c>
      <c r="F384" s="481">
        <v>0</v>
      </c>
      <c r="G384" s="481" t="s">
        <v>12</v>
      </c>
      <c r="H384" s="481" t="s">
        <v>180</v>
      </c>
    </row>
    <row r="385" spans="1:8" x14ac:dyDescent="0.2">
      <c r="A385" s="480" t="s">
        <v>328</v>
      </c>
      <c r="B385" s="479">
        <v>44893</v>
      </c>
      <c r="C385" s="481" t="s">
        <v>5</v>
      </c>
      <c r="D385" s="481">
        <v>2</v>
      </c>
      <c r="E385" s="481" t="s">
        <v>0</v>
      </c>
      <c r="F385" s="481">
        <v>0</v>
      </c>
      <c r="G385" s="481" t="s">
        <v>152</v>
      </c>
      <c r="H385" s="481" t="s">
        <v>180</v>
      </c>
    </row>
    <row r="386" spans="1:8" x14ac:dyDescent="0.2">
      <c r="A386" s="480" t="s">
        <v>329</v>
      </c>
      <c r="B386" s="479">
        <v>44893</v>
      </c>
      <c r="C386" s="481" t="s">
        <v>9</v>
      </c>
      <c r="D386" s="481">
        <v>3</v>
      </c>
      <c r="E386" s="481" t="s">
        <v>0</v>
      </c>
      <c r="F386" s="481">
        <v>2</v>
      </c>
      <c r="G386" s="481" t="s">
        <v>2</v>
      </c>
      <c r="H386" s="481" t="s">
        <v>180</v>
      </c>
    </row>
    <row r="387" spans="1:8" x14ac:dyDescent="0.2">
      <c r="A387" s="480" t="s">
        <v>322</v>
      </c>
      <c r="B387" s="479">
        <v>44893</v>
      </c>
      <c r="C387" s="481" t="s">
        <v>151</v>
      </c>
      <c r="D387" s="481">
        <v>0</v>
      </c>
      <c r="E387" s="481" t="s">
        <v>0</v>
      </c>
      <c r="F387" s="481">
        <v>1</v>
      </c>
      <c r="G387" s="481" t="s">
        <v>128</v>
      </c>
      <c r="H387" s="481" t="s">
        <v>225</v>
      </c>
    </row>
    <row r="388" spans="1:8" x14ac:dyDescent="0.2">
      <c r="A388" s="480" t="s">
        <v>323</v>
      </c>
      <c r="B388" s="479">
        <v>44893</v>
      </c>
      <c r="C388" s="481" t="s">
        <v>10</v>
      </c>
      <c r="D388" s="481">
        <v>1</v>
      </c>
      <c r="E388" s="481" t="s">
        <v>0</v>
      </c>
      <c r="F388" s="481">
        <v>0</v>
      </c>
      <c r="G388" s="481" t="s">
        <v>12</v>
      </c>
      <c r="H388" s="481" t="s">
        <v>225</v>
      </c>
    </row>
    <row r="389" spans="1:8" x14ac:dyDescent="0.2">
      <c r="A389" s="480" t="s">
        <v>328</v>
      </c>
      <c r="B389" s="479">
        <v>44893</v>
      </c>
      <c r="C389" s="481" t="s">
        <v>5</v>
      </c>
      <c r="D389" s="481">
        <v>0</v>
      </c>
      <c r="E389" s="481" t="s">
        <v>0</v>
      </c>
      <c r="F389" s="481">
        <v>0</v>
      </c>
      <c r="G389" s="481" t="s">
        <v>152</v>
      </c>
      <c r="H389" s="481" t="s">
        <v>225</v>
      </c>
    </row>
    <row r="390" spans="1:8" x14ac:dyDescent="0.2">
      <c r="A390" s="480" t="s">
        <v>329</v>
      </c>
      <c r="B390" s="479">
        <v>44893</v>
      </c>
      <c r="C390" s="481" t="s">
        <v>9</v>
      </c>
      <c r="D390" s="481">
        <v>2</v>
      </c>
      <c r="E390" s="481" t="s">
        <v>0</v>
      </c>
      <c r="F390" s="481">
        <v>2</v>
      </c>
      <c r="G390" s="481" t="s">
        <v>2</v>
      </c>
      <c r="H390" s="481" t="s">
        <v>225</v>
      </c>
    </row>
    <row r="391" spans="1:8" x14ac:dyDescent="0.2">
      <c r="A391" s="480" t="s">
        <v>322</v>
      </c>
      <c r="B391" s="479">
        <v>44893</v>
      </c>
      <c r="C391" s="481" t="s">
        <v>151</v>
      </c>
      <c r="D391" s="481">
        <v>2</v>
      </c>
      <c r="E391" s="481" t="s">
        <v>0</v>
      </c>
      <c r="F391" s="481">
        <v>0</v>
      </c>
      <c r="G391" s="481" t="s">
        <v>128</v>
      </c>
      <c r="H391" s="481" t="s">
        <v>224</v>
      </c>
    </row>
    <row r="392" spans="1:8" x14ac:dyDescent="0.2">
      <c r="A392" s="480" t="s">
        <v>323</v>
      </c>
      <c r="B392" s="479">
        <v>44893</v>
      </c>
      <c r="C392" s="481" t="s">
        <v>10</v>
      </c>
      <c r="D392" s="481">
        <v>2</v>
      </c>
      <c r="E392" s="481" t="s">
        <v>0</v>
      </c>
      <c r="F392" s="481">
        <v>0</v>
      </c>
      <c r="G392" s="481" t="s">
        <v>12</v>
      </c>
      <c r="H392" s="481" t="s">
        <v>224</v>
      </c>
    </row>
    <row r="393" spans="1:8" x14ac:dyDescent="0.2">
      <c r="A393" s="480" t="s">
        <v>328</v>
      </c>
      <c r="B393" s="479">
        <v>44893</v>
      </c>
      <c r="C393" s="481" t="s">
        <v>5</v>
      </c>
      <c r="D393" s="481">
        <v>0</v>
      </c>
      <c r="E393" s="481" t="s">
        <v>0</v>
      </c>
      <c r="F393" s="481">
        <v>2</v>
      </c>
      <c r="G393" s="481" t="s">
        <v>152</v>
      </c>
      <c r="H393" s="481" t="s">
        <v>224</v>
      </c>
    </row>
    <row r="394" spans="1:8" x14ac:dyDescent="0.2">
      <c r="A394" s="480" t="s">
        <v>329</v>
      </c>
      <c r="B394" s="479">
        <v>44893</v>
      </c>
      <c r="C394" s="481" t="s">
        <v>9</v>
      </c>
      <c r="D394" s="481">
        <v>2</v>
      </c>
      <c r="E394" s="481" t="s">
        <v>0</v>
      </c>
      <c r="F394" s="481">
        <v>2</v>
      </c>
      <c r="G394" s="481" t="s">
        <v>2</v>
      </c>
      <c r="H394" s="481" t="s">
        <v>224</v>
      </c>
    </row>
    <row r="395" spans="1:8" x14ac:dyDescent="0.2">
      <c r="A395" s="480" t="s">
        <v>322</v>
      </c>
      <c r="B395" s="479">
        <v>44893</v>
      </c>
      <c r="C395" s="481" t="s">
        <v>151</v>
      </c>
      <c r="D395" s="481">
        <v>0</v>
      </c>
      <c r="E395" s="481" t="s">
        <v>0</v>
      </c>
      <c r="F395" s="481">
        <v>1</v>
      </c>
      <c r="G395" s="481" t="s">
        <v>128</v>
      </c>
      <c r="H395" s="481" t="s">
        <v>181</v>
      </c>
    </row>
    <row r="396" spans="1:8" x14ac:dyDescent="0.2">
      <c r="A396" s="480" t="s">
        <v>323</v>
      </c>
      <c r="B396" s="479">
        <v>44893</v>
      </c>
      <c r="C396" s="481" t="s">
        <v>10</v>
      </c>
      <c r="D396" s="481">
        <v>2</v>
      </c>
      <c r="E396" s="481" t="s">
        <v>0</v>
      </c>
      <c r="F396" s="481">
        <v>0</v>
      </c>
      <c r="G396" s="481" t="s">
        <v>12</v>
      </c>
      <c r="H396" s="481" t="s">
        <v>181</v>
      </c>
    </row>
    <row r="397" spans="1:8" x14ac:dyDescent="0.2">
      <c r="A397" s="480" t="s">
        <v>328</v>
      </c>
      <c r="B397" s="479">
        <v>44893</v>
      </c>
      <c r="C397" s="481" t="s">
        <v>5</v>
      </c>
      <c r="D397" s="481">
        <v>0</v>
      </c>
      <c r="E397" s="481" t="s">
        <v>0</v>
      </c>
      <c r="F397" s="481">
        <v>0</v>
      </c>
      <c r="G397" s="481" t="s">
        <v>152</v>
      </c>
      <c r="H397" s="481" t="s">
        <v>181</v>
      </c>
    </row>
    <row r="398" spans="1:8" x14ac:dyDescent="0.2">
      <c r="A398" s="480" t="s">
        <v>329</v>
      </c>
      <c r="B398" s="479">
        <v>44893</v>
      </c>
      <c r="C398" s="481" t="s">
        <v>9</v>
      </c>
      <c r="D398" s="481">
        <v>1</v>
      </c>
      <c r="E398" s="481" t="s">
        <v>0</v>
      </c>
      <c r="F398" s="481">
        <v>0</v>
      </c>
      <c r="G398" s="481" t="s">
        <v>2</v>
      </c>
      <c r="H398" s="481" t="s">
        <v>181</v>
      </c>
    </row>
    <row r="399" spans="1:8" x14ac:dyDescent="0.2">
      <c r="A399" s="480" t="s">
        <v>322</v>
      </c>
      <c r="B399" s="479">
        <v>44893</v>
      </c>
      <c r="C399" s="481" t="s">
        <v>151</v>
      </c>
      <c r="D399" s="481">
        <v>2</v>
      </c>
      <c r="E399" s="481" t="s">
        <v>0</v>
      </c>
      <c r="F399" s="481">
        <v>2</v>
      </c>
      <c r="G399" s="481" t="s">
        <v>128</v>
      </c>
      <c r="H399" s="481" t="s">
        <v>177</v>
      </c>
    </row>
    <row r="400" spans="1:8" x14ac:dyDescent="0.2">
      <c r="A400" s="480" t="s">
        <v>323</v>
      </c>
      <c r="B400" s="479">
        <v>44893</v>
      </c>
      <c r="C400" s="481" t="s">
        <v>10</v>
      </c>
      <c r="D400" s="481">
        <v>1</v>
      </c>
      <c r="E400" s="481" t="s">
        <v>0</v>
      </c>
      <c r="F400" s="481">
        <v>0</v>
      </c>
      <c r="G400" s="481" t="s">
        <v>12</v>
      </c>
      <c r="H400" s="481" t="s">
        <v>177</v>
      </c>
    </row>
    <row r="401" spans="1:8" x14ac:dyDescent="0.2">
      <c r="A401" s="480" t="s">
        <v>328</v>
      </c>
      <c r="B401" s="479">
        <v>44893</v>
      </c>
      <c r="C401" s="481" t="s">
        <v>5</v>
      </c>
      <c r="D401" s="481">
        <v>0</v>
      </c>
      <c r="E401" s="481" t="s">
        <v>0</v>
      </c>
      <c r="F401" s="481">
        <v>1</v>
      </c>
      <c r="G401" s="481" t="s">
        <v>152</v>
      </c>
      <c r="H401" s="481" t="s">
        <v>177</v>
      </c>
    </row>
    <row r="402" spans="1:8" x14ac:dyDescent="0.2">
      <c r="A402" s="480" t="s">
        <v>329</v>
      </c>
      <c r="B402" s="479">
        <v>44893</v>
      </c>
      <c r="C402" s="481" t="s">
        <v>9</v>
      </c>
      <c r="D402" s="481">
        <v>2</v>
      </c>
      <c r="E402" s="481" t="s">
        <v>0</v>
      </c>
      <c r="F402" s="481">
        <v>2</v>
      </c>
      <c r="G402" s="481" t="s">
        <v>2</v>
      </c>
      <c r="H402" s="481" t="s">
        <v>177</v>
      </c>
    </row>
    <row r="403" spans="1:8" x14ac:dyDescent="0.2">
      <c r="A403" s="480" t="s">
        <v>322</v>
      </c>
      <c r="B403" s="479">
        <v>44893</v>
      </c>
      <c r="C403" s="481" t="s">
        <v>151</v>
      </c>
      <c r="D403" s="481">
        <v>1</v>
      </c>
      <c r="E403" s="481" t="s">
        <v>0</v>
      </c>
      <c r="F403" s="481">
        <v>1</v>
      </c>
      <c r="G403" s="481" t="s">
        <v>128</v>
      </c>
      <c r="H403" s="481" t="s">
        <v>184</v>
      </c>
    </row>
    <row r="404" spans="1:8" x14ac:dyDescent="0.2">
      <c r="A404" s="480" t="s">
        <v>323</v>
      </c>
      <c r="B404" s="479">
        <v>44893</v>
      </c>
      <c r="C404" s="481" t="s">
        <v>10</v>
      </c>
      <c r="D404" s="481">
        <v>2</v>
      </c>
      <c r="E404" s="481" t="s">
        <v>0</v>
      </c>
      <c r="F404" s="481">
        <v>0</v>
      </c>
      <c r="G404" s="481" t="s">
        <v>12</v>
      </c>
      <c r="H404" s="481" t="s">
        <v>184</v>
      </c>
    </row>
    <row r="405" spans="1:8" x14ac:dyDescent="0.2">
      <c r="A405" s="480" t="s">
        <v>328</v>
      </c>
      <c r="B405" s="479">
        <v>44893</v>
      </c>
      <c r="C405" s="481" t="s">
        <v>5</v>
      </c>
      <c r="D405" s="481">
        <v>1</v>
      </c>
      <c r="E405" s="481" t="s">
        <v>0</v>
      </c>
      <c r="F405" s="481">
        <v>1</v>
      </c>
      <c r="G405" s="481" t="s">
        <v>152</v>
      </c>
      <c r="H405" s="481" t="s">
        <v>184</v>
      </c>
    </row>
    <row r="406" spans="1:8" x14ac:dyDescent="0.2">
      <c r="A406" s="480" t="s">
        <v>329</v>
      </c>
      <c r="B406" s="479">
        <v>44893</v>
      </c>
      <c r="C406" s="481" t="s">
        <v>9</v>
      </c>
      <c r="D406" s="481">
        <v>2</v>
      </c>
      <c r="E406" s="481" t="s">
        <v>0</v>
      </c>
      <c r="F406" s="481">
        <v>2</v>
      </c>
      <c r="G406" s="481" t="s">
        <v>2</v>
      </c>
      <c r="H406" s="481" t="s">
        <v>184</v>
      </c>
    </row>
    <row r="407" spans="1:8" x14ac:dyDescent="0.2">
      <c r="A407" s="480" t="s">
        <v>322</v>
      </c>
      <c r="B407" s="479">
        <v>44893</v>
      </c>
      <c r="C407" s="481" t="s">
        <v>151</v>
      </c>
      <c r="D407" s="481">
        <v>1</v>
      </c>
      <c r="E407" s="481" t="s">
        <v>0</v>
      </c>
      <c r="F407" s="481">
        <v>2</v>
      </c>
      <c r="G407" s="481" t="s">
        <v>128</v>
      </c>
      <c r="H407" s="481" t="s">
        <v>227</v>
      </c>
    </row>
    <row r="408" spans="1:8" x14ac:dyDescent="0.2">
      <c r="A408" s="480" t="s">
        <v>323</v>
      </c>
      <c r="B408" s="479">
        <v>44893</v>
      </c>
      <c r="C408" s="481" t="s">
        <v>10</v>
      </c>
      <c r="D408" s="481">
        <v>2</v>
      </c>
      <c r="E408" s="481" t="s">
        <v>0</v>
      </c>
      <c r="F408" s="481">
        <v>0</v>
      </c>
      <c r="G408" s="481" t="s">
        <v>12</v>
      </c>
      <c r="H408" s="481" t="s">
        <v>227</v>
      </c>
    </row>
    <row r="409" spans="1:8" x14ac:dyDescent="0.2">
      <c r="A409" s="480" t="s">
        <v>328</v>
      </c>
      <c r="B409" s="479">
        <v>44893</v>
      </c>
      <c r="C409" s="481" t="s">
        <v>5</v>
      </c>
      <c r="D409" s="481">
        <v>1</v>
      </c>
      <c r="E409" s="481" t="s">
        <v>0</v>
      </c>
      <c r="F409" s="481">
        <v>1</v>
      </c>
      <c r="G409" s="481" t="s">
        <v>152</v>
      </c>
      <c r="H409" s="481" t="s">
        <v>227</v>
      </c>
    </row>
    <row r="410" spans="1:8" x14ac:dyDescent="0.2">
      <c r="A410" s="480" t="s">
        <v>329</v>
      </c>
      <c r="B410" s="479">
        <v>44893</v>
      </c>
      <c r="C410" s="481" t="s">
        <v>9</v>
      </c>
      <c r="D410" s="481">
        <v>1</v>
      </c>
      <c r="E410" s="481" t="s">
        <v>0</v>
      </c>
      <c r="F410" s="481">
        <v>1</v>
      </c>
      <c r="G410" s="481" t="s">
        <v>2</v>
      </c>
      <c r="H410" s="481" t="s">
        <v>227</v>
      </c>
    </row>
    <row r="411" spans="1:8" x14ac:dyDescent="0.2">
      <c r="A411" s="480" t="s">
        <v>322</v>
      </c>
      <c r="B411" s="479">
        <v>44893</v>
      </c>
      <c r="C411" s="481" t="s">
        <v>151</v>
      </c>
      <c r="D411" s="481">
        <v>1</v>
      </c>
      <c r="E411" s="481" t="s">
        <v>0</v>
      </c>
      <c r="F411" s="481">
        <v>2</v>
      </c>
      <c r="G411" s="481" t="s">
        <v>128</v>
      </c>
      <c r="H411" s="481" t="s">
        <v>183</v>
      </c>
    </row>
    <row r="412" spans="1:8" x14ac:dyDescent="0.2">
      <c r="A412" s="480" t="s">
        <v>323</v>
      </c>
      <c r="B412" s="479">
        <v>44893</v>
      </c>
      <c r="C412" s="481" t="s">
        <v>10</v>
      </c>
      <c r="D412" s="481">
        <v>3</v>
      </c>
      <c r="E412" s="481" t="s">
        <v>0</v>
      </c>
      <c r="F412" s="481">
        <v>1</v>
      </c>
      <c r="G412" s="481" t="s">
        <v>12</v>
      </c>
      <c r="H412" s="481" t="s">
        <v>183</v>
      </c>
    </row>
    <row r="413" spans="1:8" x14ac:dyDescent="0.2">
      <c r="A413" s="480" t="s">
        <v>328</v>
      </c>
      <c r="B413" s="479">
        <v>44893</v>
      </c>
      <c r="C413" s="481" t="s">
        <v>5</v>
      </c>
      <c r="D413" s="481">
        <v>1</v>
      </c>
      <c r="E413" s="481" t="s">
        <v>0</v>
      </c>
      <c r="F413" s="481">
        <v>2</v>
      </c>
      <c r="G413" s="481" t="s">
        <v>152</v>
      </c>
      <c r="H413" s="481" t="s">
        <v>183</v>
      </c>
    </row>
    <row r="414" spans="1:8" x14ac:dyDescent="0.2">
      <c r="A414" s="480" t="s">
        <v>329</v>
      </c>
      <c r="B414" s="479">
        <v>44893</v>
      </c>
      <c r="C414" s="481" t="s">
        <v>9</v>
      </c>
      <c r="D414" s="481">
        <v>1</v>
      </c>
      <c r="E414" s="481" t="s">
        <v>0</v>
      </c>
      <c r="F414" s="481">
        <v>2</v>
      </c>
      <c r="G414" s="481" t="s">
        <v>2</v>
      </c>
      <c r="H414" s="481" t="s">
        <v>183</v>
      </c>
    </row>
    <row r="415" spans="1:8" x14ac:dyDescent="0.2">
      <c r="A415" s="480" t="s">
        <v>322</v>
      </c>
      <c r="B415" s="479">
        <v>44893</v>
      </c>
      <c r="C415" s="481" t="s">
        <v>151</v>
      </c>
      <c r="D415" s="481">
        <v>0</v>
      </c>
      <c r="E415" s="481" t="s">
        <v>0</v>
      </c>
      <c r="F415" s="481">
        <v>1</v>
      </c>
      <c r="G415" s="481" t="s">
        <v>128</v>
      </c>
      <c r="H415" s="481" t="s">
        <v>185</v>
      </c>
    </row>
    <row r="416" spans="1:8" x14ac:dyDescent="0.2">
      <c r="A416" s="480" t="s">
        <v>323</v>
      </c>
      <c r="B416" s="479">
        <v>44893</v>
      </c>
      <c r="C416" s="481" t="s">
        <v>10</v>
      </c>
      <c r="D416" s="481">
        <v>2</v>
      </c>
      <c r="E416" s="481" t="s">
        <v>0</v>
      </c>
      <c r="F416" s="481">
        <v>1</v>
      </c>
      <c r="G416" s="481" t="s">
        <v>12</v>
      </c>
      <c r="H416" s="481" t="s">
        <v>185</v>
      </c>
    </row>
    <row r="417" spans="1:8" x14ac:dyDescent="0.2">
      <c r="A417" s="480" t="s">
        <v>328</v>
      </c>
      <c r="B417" s="479">
        <v>44893</v>
      </c>
      <c r="C417" s="481" t="s">
        <v>5</v>
      </c>
      <c r="D417" s="481">
        <v>1</v>
      </c>
      <c r="E417" s="481" t="s">
        <v>0</v>
      </c>
      <c r="F417" s="481">
        <v>0</v>
      </c>
      <c r="G417" s="481" t="s">
        <v>152</v>
      </c>
      <c r="H417" s="481" t="s">
        <v>185</v>
      </c>
    </row>
    <row r="418" spans="1:8" x14ac:dyDescent="0.2">
      <c r="A418" s="480" t="s">
        <v>329</v>
      </c>
      <c r="B418" s="479">
        <v>44893</v>
      </c>
      <c r="C418" s="481" t="s">
        <v>9</v>
      </c>
      <c r="D418" s="481">
        <v>2</v>
      </c>
      <c r="E418" s="481" t="s">
        <v>0</v>
      </c>
      <c r="F418" s="481">
        <v>0</v>
      </c>
      <c r="G418" s="481" t="s">
        <v>2</v>
      </c>
      <c r="H418" s="481" t="s">
        <v>185</v>
      </c>
    </row>
    <row r="419" spans="1:8" x14ac:dyDescent="0.2">
      <c r="A419" s="480" t="s">
        <v>322</v>
      </c>
      <c r="B419" s="479">
        <v>44893</v>
      </c>
      <c r="C419" s="481" t="s">
        <v>151</v>
      </c>
      <c r="D419" s="481">
        <v>0</v>
      </c>
      <c r="E419" s="481" t="s">
        <v>0</v>
      </c>
      <c r="F419" s="481">
        <v>2</v>
      </c>
      <c r="G419" s="481" t="s">
        <v>128</v>
      </c>
      <c r="H419" s="481" t="s">
        <v>332</v>
      </c>
    </row>
    <row r="420" spans="1:8" x14ac:dyDescent="0.2">
      <c r="A420" s="480" t="s">
        <v>323</v>
      </c>
      <c r="B420" s="479">
        <v>44893</v>
      </c>
      <c r="C420" s="481" t="s">
        <v>10</v>
      </c>
      <c r="D420" s="481">
        <v>2</v>
      </c>
      <c r="E420" s="481" t="s">
        <v>0</v>
      </c>
      <c r="F420" s="481">
        <v>0</v>
      </c>
      <c r="G420" s="481" t="s">
        <v>12</v>
      </c>
      <c r="H420" s="481" t="s">
        <v>332</v>
      </c>
    </row>
    <row r="421" spans="1:8" x14ac:dyDescent="0.2">
      <c r="A421" s="480" t="s">
        <v>328</v>
      </c>
      <c r="B421" s="479">
        <v>44893</v>
      </c>
      <c r="C421" s="481" t="s">
        <v>5</v>
      </c>
      <c r="D421" s="481">
        <v>2</v>
      </c>
      <c r="E421" s="481" t="s">
        <v>0</v>
      </c>
      <c r="F421" s="481">
        <v>1</v>
      </c>
      <c r="G421" s="481" t="s">
        <v>152</v>
      </c>
      <c r="H421" s="481" t="s">
        <v>332</v>
      </c>
    </row>
    <row r="422" spans="1:8" x14ac:dyDescent="0.2">
      <c r="A422" s="480" t="s">
        <v>329</v>
      </c>
      <c r="B422" s="479">
        <v>44893</v>
      </c>
      <c r="C422" s="481" t="s">
        <v>9</v>
      </c>
      <c r="D422" s="481">
        <v>1</v>
      </c>
      <c r="E422" s="481" t="s">
        <v>0</v>
      </c>
      <c r="F422" s="481">
        <v>1</v>
      </c>
      <c r="G422" s="481" t="s">
        <v>2</v>
      </c>
      <c r="H422" s="481" t="s">
        <v>332</v>
      </c>
    </row>
    <row r="423" spans="1:8" x14ac:dyDescent="0.2">
      <c r="A423" s="480" t="s">
        <v>322</v>
      </c>
      <c r="B423" s="479">
        <v>44893</v>
      </c>
      <c r="C423" s="483" t="s">
        <v>151</v>
      </c>
      <c r="D423" s="483">
        <v>1</v>
      </c>
      <c r="E423" s="483" t="s">
        <v>0</v>
      </c>
      <c r="F423" s="483">
        <v>1</v>
      </c>
      <c r="G423" s="483" t="s">
        <v>128</v>
      </c>
      <c r="H423" s="481" t="s">
        <v>182</v>
      </c>
    </row>
    <row r="424" spans="1:8" x14ac:dyDescent="0.2">
      <c r="A424" s="480" t="s">
        <v>323</v>
      </c>
      <c r="B424" s="479">
        <v>44893</v>
      </c>
      <c r="C424" s="483" t="s">
        <v>10</v>
      </c>
      <c r="D424" s="483">
        <v>1</v>
      </c>
      <c r="E424" s="483" t="s">
        <v>0</v>
      </c>
      <c r="F424" s="483">
        <v>0</v>
      </c>
      <c r="G424" s="483" t="s">
        <v>12</v>
      </c>
      <c r="H424" s="481" t="s">
        <v>182</v>
      </c>
    </row>
    <row r="425" spans="1:8" x14ac:dyDescent="0.2">
      <c r="A425" s="480" t="s">
        <v>328</v>
      </c>
      <c r="B425" s="479">
        <v>44893</v>
      </c>
      <c r="C425" s="483" t="s">
        <v>5</v>
      </c>
      <c r="D425" s="483">
        <v>0</v>
      </c>
      <c r="E425" s="483" t="s">
        <v>0</v>
      </c>
      <c r="F425" s="483">
        <v>0</v>
      </c>
      <c r="G425" s="483" t="s">
        <v>152</v>
      </c>
      <c r="H425" s="481" t="s">
        <v>182</v>
      </c>
    </row>
    <row r="426" spans="1:8" x14ac:dyDescent="0.2">
      <c r="A426" s="480" t="s">
        <v>329</v>
      </c>
      <c r="B426" s="479">
        <v>44893</v>
      </c>
      <c r="C426" s="483" t="s">
        <v>9</v>
      </c>
      <c r="D426" s="483">
        <v>2</v>
      </c>
      <c r="E426" s="483" t="s">
        <v>0</v>
      </c>
      <c r="F426" s="483">
        <v>2</v>
      </c>
      <c r="G426" s="483" t="s">
        <v>2</v>
      </c>
      <c r="H426" s="481" t="s">
        <v>182</v>
      </c>
    </row>
    <row r="427" spans="1:8" x14ac:dyDescent="0.2">
      <c r="A427" s="480" t="s">
        <v>288</v>
      </c>
      <c r="B427" s="479">
        <v>44894</v>
      </c>
      <c r="C427" s="481" t="s">
        <v>140</v>
      </c>
      <c r="D427" s="481">
        <v>3</v>
      </c>
      <c r="E427" s="481" t="s">
        <v>0</v>
      </c>
      <c r="F427" s="481">
        <v>0</v>
      </c>
      <c r="G427" s="481" t="s">
        <v>141</v>
      </c>
      <c r="H427" s="481" t="s">
        <v>176</v>
      </c>
    </row>
    <row r="428" spans="1:8" x14ac:dyDescent="0.2">
      <c r="A428" s="480" t="s">
        <v>289</v>
      </c>
      <c r="B428" s="479">
        <v>44894</v>
      </c>
      <c r="C428" s="481" t="s">
        <v>142</v>
      </c>
      <c r="D428" s="481">
        <v>1</v>
      </c>
      <c r="E428" s="481" t="s">
        <v>0</v>
      </c>
      <c r="F428" s="481">
        <v>1</v>
      </c>
      <c r="G428" s="481" t="s">
        <v>131</v>
      </c>
      <c r="H428" s="481" t="s">
        <v>176</v>
      </c>
    </row>
    <row r="429" spans="1:8" x14ac:dyDescent="0.2">
      <c r="A429" s="480" t="s">
        <v>294</v>
      </c>
      <c r="B429" s="479">
        <v>44894</v>
      </c>
      <c r="C429" s="481" t="s">
        <v>158</v>
      </c>
      <c r="D429" s="481">
        <v>1</v>
      </c>
      <c r="E429" s="481" t="s">
        <v>0</v>
      </c>
      <c r="F429" s="481">
        <v>1</v>
      </c>
      <c r="G429" s="481" t="s">
        <v>6</v>
      </c>
      <c r="H429" s="481" t="s">
        <v>176</v>
      </c>
    </row>
    <row r="430" spans="1:8" x14ac:dyDescent="0.2">
      <c r="A430" s="480" t="s">
        <v>295</v>
      </c>
      <c r="B430" s="479">
        <v>44894</v>
      </c>
      <c r="C430" s="481" t="s">
        <v>123</v>
      </c>
      <c r="D430" s="481">
        <v>1</v>
      </c>
      <c r="E430" s="481" t="s">
        <v>0</v>
      </c>
      <c r="F430" s="481">
        <v>2</v>
      </c>
      <c r="G430" s="481" t="s">
        <v>145</v>
      </c>
      <c r="H430" s="481" t="s">
        <v>176</v>
      </c>
    </row>
    <row r="431" spans="1:8" x14ac:dyDescent="0.2">
      <c r="A431" s="480" t="s">
        <v>288</v>
      </c>
      <c r="B431" s="479">
        <v>44894</v>
      </c>
      <c r="C431" s="481" t="s">
        <v>140</v>
      </c>
      <c r="D431" s="481">
        <v>3</v>
      </c>
      <c r="E431" s="481" t="s">
        <v>0</v>
      </c>
      <c r="F431" s="481">
        <v>0</v>
      </c>
      <c r="G431" s="481" t="s">
        <v>141</v>
      </c>
      <c r="H431" s="481" t="s">
        <v>226</v>
      </c>
    </row>
    <row r="432" spans="1:8" x14ac:dyDescent="0.2">
      <c r="A432" s="480" t="s">
        <v>289</v>
      </c>
      <c r="B432" s="479">
        <v>44894</v>
      </c>
      <c r="C432" s="481" t="s">
        <v>142</v>
      </c>
      <c r="D432" s="481">
        <v>2</v>
      </c>
      <c r="E432" s="481" t="s">
        <v>0</v>
      </c>
      <c r="F432" s="481">
        <v>1</v>
      </c>
      <c r="G432" s="481" t="s">
        <v>131</v>
      </c>
      <c r="H432" s="481" t="s">
        <v>226</v>
      </c>
    </row>
    <row r="433" spans="1:8" x14ac:dyDescent="0.2">
      <c r="A433" s="480" t="s">
        <v>294</v>
      </c>
      <c r="B433" s="479">
        <v>44894</v>
      </c>
      <c r="C433" s="481" t="s">
        <v>158</v>
      </c>
      <c r="D433" s="481">
        <v>2</v>
      </c>
      <c r="E433" s="481" t="s">
        <v>0</v>
      </c>
      <c r="F433" s="481">
        <v>2</v>
      </c>
      <c r="G433" s="481" t="s">
        <v>6</v>
      </c>
      <c r="H433" s="481" t="s">
        <v>226</v>
      </c>
    </row>
    <row r="434" spans="1:8" x14ac:dyDescent="0.2">
      <c r="A434" s="480" t="s">
        <v>295</v>
      </c>
      <c r="B434" s="479">
        <v>44894</v>
      </c>
      <c r="C434" s="481" t="s">
        <v>123</v>
      </c>
      <c r="D434" s="481">
        <v>2</v>
      </c>
      <c r="E434" s="481" t="s">
        <v>0</v>
      </c>
      <c r="F434" s="481">
        <v>1</v>
      </c>
      <c r="G434" s="481" t="s">
        <v>145</v>
      </c>
      <c r="H434" s="481" t="s">
        <v>226</v>
      </c>
    </row>
    <row r="435" spans="1:8" x14ac:dyDescent="0.2">
      <c r="A435" s="480" t="s">
        <v>288</v>
      </c>
      <c r="B435" s="479">
        <v>44894</v>
      </c>
      <c r="C435" s="481" t="s">
        <v>140</v>
      </c>
      <c r="D435" s="481">
        <v>2</v>
      </c>
      <c r="E435" s="481" t="s">
        <v>0</v>
      </c>
      <c r="F435" s="481">
        <v>0</v>
      </c>
      <c r="G435" s="481" t="s">
        <v>141</v>
      </c>
      <c r="H435" s="481" t="s">
        <v>228</v>
      </c>
    </row>
    <row r="436" spans="1:8" x14ac:dyDescent="0.2">
      <c r="A436" s="480" t="s">
        <v>289</v>
      </c>
      <c r="B436" s="479">
        <v>44894</v>
      </c>
      <c r="C436" s="481" t="s">
        <v>142</v>
      </c>
      <c r="D436" s="481">
        <v>1</v>
      </c>
      <c r="E436" s="481" t="s">
        <v>0</v>
      </c>
      <c r="F436" s="481">
        <v>2</v>
      </c>
      <c r="G436" s="481" t="s">
        <v>131</v>
      </c>
      <c r="H436" s="481" t="s">
        <v>228</v>
      </c>
    </row>
    <row r="437" spans="1:8" x14ac:dyDescent="0.2">
      <c r="A437" s="480" t="s">
        <v>294</v>
      </c>
      <c r="B437" s="479">
        <v>44894</v>
      </c>
      <c r="C437" s="481" t="s">
        <v>158</v>
      </c>
      <c r="D437" s="481">
        <v>0</v>
      </c>
      <c r="E437" s="481" t="s">
        <v>0</v>
      </c>
      <c r="F437" s="481">
        <v>1</v>
      </c>
      <c r="G437" s="481" t="s">
        <v>6</v>
      </c>
      <c r="H437" s="481" t="s">
        <v>228</v>
      </c>
    </row>
    <row r="438" spans="1:8" x14ac:dyDescent="0.2">
      <c r="A438" s="480" t="s">
        <v>295</v>
      </c>
      <c r="B438" s="479">
        <v>44894</v>
      </c>
      <c r="C438" s="481" t="s">
        <v>123</v>
      </c>
      <c r="D438" s="481">
        <v>1</v>
      </c>
      <c r="E438" s="481" t="s">
        <v>0</v>
      </c>
      <c r="F438" s="481">
        <v>2</v>
      </c>
      <c r="G438" s="481" t="s">
        <v>145</v>
      </c>
      <c r="H438" s="481" t="s">
        <v>228</v>
      </c>
    </row>
    <row r="439" spans="1:8" x14ac:dyDescent="0.2">
      <c r="A439" s="480" t="s">
        <v>288</v>
      </c>
      <c r="B439" s="479">
        <v>44894</v>
      </c>
      <c r="C439" s="481" t="s">
        <v>140</v>
      </c>
      <c r="D439" s="481">
        <v>3</v>
      </c>
      <c r="E439" s="481" t="s">
        <v>0</v>
      </c>
      <c r="F439" s="481">
        <v>0</v>
      </c>
      <c r="G439" s="481" t="s">
        <v>141</v>
      </c>
      <c r="H439" s="481" t="s">
        <v>179</v>
      </c>
    </row>
    <row r="440" spans="1:8" x14ac:dyDescent="0.2">
      <c r="A440" s="480" t="s">
        <v>289</v>
      </c>
      <c r="B440" s="479">
        <v>44894</v>
      </c>
      <c r="C440" s="481" t="s">
        <v>142</v>
      </c>
      <c r="D440" s="481">
        <v>1</v>
      </c>
      <c r="E440" s="481" t="s">
        <v>0</v>
      </c>
      <c r="F440" s="481">
        <v>1</v>
      </c>
      <c r="G440" s="481" t="s">
        <v>131</v>
      </c>
      <c r="H440" s="481" t="s">
        <v>179</v>
      </c>
    </row>
    <row r="441" spans="1:8" x14ac:dyDescent="0.2">
      <c r="A441" s="480" t="s">
        <v>294</v>
      </c>
      <c r="B441" s="479">
        <v>44894</v>
      </c>
      <c r="C441" s="481" t="s">
        <v>158</v>
      </c>
      <c r="D441" s="481">
        <v>2</v>
      </c>
      <c r="E441" s="481" t="s">
        <v>0</v>
      </c>
      <c r="F441" s="481">
        <v>2</v>
      </c>
      <c r="G441" s="481" t="s">
        <v>6</v>
      </c>
      <c r="H441" s="481" t="s">
        <v>179</v>
      </c>
    </row>
    <row r="442" spans="1:8" x14ac:dyDescent="0.2">
      <c r="A442" s="480" t="s">
        <v>295</v>
      </c>
      <c r="B442" s="479">
        <v>44894</v>
      </c>
      <c r="C442" s="481" t="s">
        <v>123</v>
      </c>
      <c r="D442" s="481">
        <v>1</v>
      </c>
      <c r="E442" s="481" t="s">
        <v>0</v>
      </c>
      <c r="F442" s="481">
        <v>2</v>
      </c>
      <c r="G442" s="481" t="s">
        <v>145</v>
      </c>
      <c r="H442" s="481" t="s">
        <v>179</v>
      </c>
    </row>
    <row r="443" spans="1:8" x14ac:dyDescent="0.2">
      <c r="A443" s="480" t="s">
        <v>288</v>
      </c>
      <c r="B443" s="479">
        <v>44894</v>
      </c>
      <c r="C443" s="481" t="s">
        <v>140</v>
      </c>
      <c r="D443" s="481">
        <v>3</v>
      </c>
      <c r="E443" s="481" t="s">
        <v>0</v>
      </c>
      <c r="F443" s="481">
        <v>1</v>
      </c>
      <c r="G443" s="481" t="s">
        <v>141</v>
      </c>
      <c r="H443" s="481" t="s">
        <v>223</v>
      </c>
    </row>
    <row r="444" spans="1:8" x14ac:dyDescent="0.2">
      <c r="A444" s="480" t="s">
        <v>289</v>
      </c>
      <c r="B444" s="479">
        <v>44894</v>
      </c>
      <c r="C444" s="481" t="s">
        <v>142</v>
      </c>
      <c r="D444" s="481">
        <v>2</v>
      </c>
      <c r="E444" s="481" t="s">
        <v>0</v>
      </c>
      <c r="F444" s="481">
        <v>2</v>
      </c>
      <c r="G444" s="481" t="s">
        <v>131</v>
      </c>
      <c r="H444" s="481" t="s">
        <v>223</v>
      </c>
    </row>
    <row r="445" spans="1:8" x14ac:dyDescent="0.2">
      <c r="A445" s="480" t="s">
        <v>294</v>
      </c>
      <c r="B445" s="479">
        <v>44894</v>
      </c>
      <c r="C445" s="481" t="s">
        <v>158</v>
      </c>
      <c r="D445" s="481">
        <v>1</v>
      </c>
      <c r="E445" s="481" t="s">
        <v>0</v>
      </c>
      <c r="F445" s="481">
        <v>2</v>
      </c>
      <c r="G445" s="481" t="s">
        <v>6</v>
      </c>
      <c r="H445" s="481" t="s">
        <v>223</v>
      </c>
    </row>
    <row r="446" spans="1:8" x14ac:dyDescent="0.2">
      <c r="A446" s="480" t="s">
        <v>295</v>
      </c>
      <c r="B446" s="479">
        <v>44894</v>
      </c>
      <c r="C446" s="481" t="s">
        <v>123</v>
      </c>
      <c r="D446" s="481">
        <v>1</v>
      </c>
      <c r="E446" s="481" t="s">
        <v>0</v>
      </c>
      <c r="F446" s="481">
        <v>3</v>
      </c>
      <c r="G446" s="481" t="s">
        <v>145</v>
      </c>
      <c r="H446" s="481" t="s">
        <v>223</v>
      </c>
    </row>
    <row r="447" spans="1:8" x14ac:dyDescent="0.2">
      <c r="A447" s="480" t="s">
        <v>288</v>
      </c>
      <c r="B447" s="479">
        <v>44894</v>
      </c>
      <c r="C447" s="481" t="s">
        <v>140</v>
      </c>
      <c r="D447" s="481">
        <v>3</v>
      </c>
      <c r="E447" s="481" t="s">
        <v>0</v>
      </c>
      <c r="F447" s="481">
        <v>0</v>
      </c>
      <c r="G447" s="481" t="s">
        <v>141</v>
      </c>
      <c r="H447" s="481" t="s">
        <v>186</v>
      </c>
    </row>
    <row r="448" spans="1:8" x14ac:dyDescent="0.2">
      <c r="A448" s="480" t="s">
        <v>289</v>
      </c>
      <c r="B448" s="479">
        <v>44894</v>
      </c>
      <c r="C448" s="481" t="s">
        <v>142</v>
      </c>
      <c r="D448" s="481">
        <v>1</v>
      </c>
      <c r="E448" s="481" t="s">
        <v>0</v>
      </c>
      <c r="F448" s="481">
        <v>2</v>
      </c>
      <c r="G448" s="481" t="s">
        <v>131</v>
      </c>
      <c r="H448" s="481" t="s">
        <v>186</v>
      </c>
    </row>
    <row r="449" spans="1:8" x14ac:dyDescent="0.2">
      <c r="A449" s="480" t="s">
        <v>294</v>
      </c>
      <c r="B449" s="479">
        <v>44894</v>
      </c>
      <c r="C449" s="481" t="s">
        <v>158</v>
      </c>
      <c r="D449" s="481">
        <v>0</v>
      </c>
      <c r="E449" s="481" t="s">
        <v>0</v>
      </c>
      <c r="F449" s="481">
        <v>1</v>
      </c>
      <c r="G449" s="481" t="s">
        <v>6</v>
      </c>
      <c r="H449" s="481" t="s">
        <v>186</v>
      </c>
    </row>
    <row r="450" spans="1:8" x14ac:dyDescent="0.2">
      <c r="A450" s="480" t="s">
        <v>295</v>
      </c>
      <c r="B450" s="479">
        <v>44894</v>
      </c>
      <c r="C450" s="481" t="s">
        <v>123</v>
      </c>
      <c r="D450" s="481">
        <v>0</v>
      </c>
      <c r="E450" s="481" t="s">
        <v>0</v>
      </c>
      <c r="F450" s="481">
        <v>1</v>
      </c>
      <c r="G450" s="481" t="s">
        <v>145</v>
      </c>
      <c r="H450" s="481" t="s">
        <v>186</v>
      </c>
    </row>
    <row r="451" spans="1:8" x14ac:dyDescent="0.2">
      <c r="A451" s="480" t="s">
        <v>288</v>
      </c>
      <c r="B451" s="479">
        <v>44894</v>
      </c>
      <c r="C451" s="481" t="s">
        <v>140</v>
      </c>
      <c r="D451" s="481">
        <v>3</v>
      </c>
      <c r="E451" s="481" t="s">
        <v>0</v>
      </c>
      <c r="F451" s="481">
        <v>0</v>
      </c>
      <c r="G451" s="481" t="s">
        <v>141</v>
      </c>
      <c r="H451" s="481" t="s">
        <v>180</v>
      </c>
    </row>
    <row r="452" spans="1:8" x14ac:dyDescent="0.2">
      <c r="A452" s="480" t="s">
        <v>289</v>
      </c>
      <c r="B452" s="479">
        <v>44894</v>
      </c>
      <c r="C452" s="481" t="s">
        <v>142</v>
      </c>
      <c r="D452" s="481">
        <v>0</v>
      </c>
      <c r="E452" s="481" t="s">
        <v>0</v>
      </c>
      <c r="F452" s="481">
        <v>1</v>
      </c>
      <c r="G452" s="481" t="s">
        <v>131</v>
      </c>
      <c r="H452" s="481" t="s">
        <v>180</v>
      </c>
    </row>
    <row r="453" spans="1:8" x14ac:dyDescent="0.2">
      <c r="A453" s="480" t="s">
        <v>294</v>
      </c>
      <c r="B453" s="479">
        <v>44894</v>
      </c>
      <c r="C453" s="481" t="s">
        <v>158</v>
      </c>
      <c r="D453" s="481">
        <v>0</v>
      </c>
      <c r="E453" s="481" t="s">
        <v>0</v>
      </c>
      <c r="F453" s="481">
        <v>1</v>
      </c>
      <c r="G453" s="481" t="s">
        <v>6</v>
      </c>
      <c r="H453" s="481" t="s">
        <v>180</v>
      </c>
    </row>
    <row r="454" spans="1:8" x14ac:dyDescent="0.2">
      <c r="A454" s="480" t="s">
        <v>295</v>
      </c>
      <c r="B454" s="479">
        <v>44894</v>
      </c>
      <c r="C454" s="481" t="s">
        <v>123</v>
      </c>
      <c r="D454" s="481">
        <v>1</v>
      </c>
      <c r="E454" s="481" t="s">
        <v>0</v>
      </c>
      <c r="F454" s="481">
        <v>0</v>
      </c>
      <c r="G454" s="481" t="s">
        <v>145</v>
      </c>
      <c r="H454" s="481" t="s">
        <v>180</v>
      </c>
    </row>
    <row r="455" spans="1:8" x14ac:dyDescent="0.2">
      <c r="A455" s="480" t="s">
        <v>288</v>
      </c>
      <c r="B455" s="479">
        <v>44894</v>
      </c>
      <c r="C455" s="481" t="s">
        <v>140</v>
      </c>
      <c r="D455" s="481">
        <v>3</v>
      </c>
      <c r="E455" s="481" t="s">
        <v>0</v>
      </c>
      <c r="F455" s="481">
        <v>1</v>
      </c>
      <c r="G455" s="481" t="s">
        <v>141</v>
      </c>
      <c r="H455" s="481" t="s">
        <v>225</v>
      </c>
    </row>
    <row r="456" spans="1:8" x14ac:dyDescent="0.2">
      <c r="A456" s="480" t="s">
        <v>289</v>
      </c>
      <c r="B456" s="479">
        <v>44894</v>
      </c>
      <c r="C456" s="481" t="s">
        <v>142</v>
      </c>
      <c r="D456" s="481">
        <v>1</v>
      </c>
      <c r="E456" s="481" t="s">
        <v>0</v>
      </c>
      <c r="F456" s="481">
        <v>1</v>
      </c>
      <c r="G456" s="481" t="s">
        <v>131</v>
      </c>
      <c r="H456" s="481" t="s">
        <v>225</v>
      </c>
    </row>
    <row r="457" spans="1:8" x14ac:dyDescent="0.2">
      <c r="A457" s="480" t="s">
        <v>294</v>
      </c>
      <c r="B457" s="479">
        <v>44894</v>
      </c>
      <c r="C457" s="481" t="s">
        <v>158</v>
      </c>
      <c r="D457" s="481">
        <v>0</v>
      </c>
      <c r="E457" s="481" t="s">
        <v>0</v>
      </c>
      <c r="F457" s="481">
        <v>2</v>
      </c>
      <c r="G457" s="481" t="s">
        <v>6</v>
      </c>
      <c r="H457" s="481" t="s">
        <v>225</v>
      </c>
    </row>
    <row r="458" spans="1:8" x14ac:dyDescent="0.2">
      <c r="A458" s="480" t="s">
        <v>295</v>
      </c>
      <c r="B458" s="479">
        <v>44894</v>
      </c>
      <c r="C458" s="481" t="s">
        <v>123</v>
      </c>
      <c r="D458" s="481">
        <v>1</v>
      </c>
      <c r="E458" s="481" t="s">
        <v>0</v>
      </c>
      <c r="F458" s="481">
        <v>1</v>
      </c>
      <c r="G458" s="481" t="s">
        <v>145</v>
      </c>
      <c r="H458" s="481" t="s">
        <v>225</v>
      </c>
    </row>
    <row r="459" spans="1:8" x14ac:dyDescent="0.2">
      <c r="A459" s="480" t="s">
        <v>288</v>
      </c>
      <c r="B459" s="479">
        <v>44894</v>
      </c>
      <c r="C459" s="481" t="s">
        <v>140</v>
      </c>
      <c r="D459" s="481">
        <v>2</v>
      </c>
      <c r="E459" s="481" t="s">
        <v>0</v>
      </c>
      <c r="F459" s="481">
        <v>0</v>
      </c>
      <c r="G459" s="481" t="s">
        <v>141</v>
      </c>
      <c r="H459" s="481" t="s">
        <v>224</v>
      </c>
    </row>
    <row r="460" spans="1:8" x14ac:dyDescent="0.2">
      <c r="A460" s="480" t="s">
        <v>289</v>
      </c>
      <c r="B460" s="479">
        <v>44894</v>
      </c>
      <c r="C460" s="481" t="s">
        <v>142</v>
      </c>
      <c r="D460" s="481">
        <v>0</v>
      </c>
      <c r="E460" s="481" t="s">
        <v>0</v>
      </c>
      <c r="F460" s="481">
        <v>1</v>
      </c>
      <c r="G460" s="481" t="s">
        <v>131</v>
      </c>
      <c r="H460" s="481" t="s">
        <v>224</v>
      </c>
    </row>
    <row r="461" spans="1:8" x14ac:dyDescent="0.2">
      <c r="A461" s="480" t="s">
        <v>294</v>
      </c>
      <c r="B461" s="479">
        <v>44894</v>
      </c>
      <c r="C461" s="481" t="s">
        <v>158</v>
      </c>
      <c r="D461" s="481">
        <v>0</v>
      </c>
      <c r="E461" s="481" t="s">
        <v>0</v>
      </c>
      <c r="F461" s="481">
        <v>1</v>
      </c>
      <c r="G461" s="481" t="s">
        <v>6</v>
      </c>
      <c r="H461" s="481" t="s">
        <v>224</v>
      </c>
    </row>
    <row r="462" spans="1:8" x14ac:dyDescent="0.2">
      <c r="A462" s="480" t="s">
        <v>295</v>
      </c>
      <c r="B462" s="479">
        <v>44894</v>
      </c>
      <c r="C462" s="481" t="s">
        <v>123</v>
      </c>
      <c r="D462" s="481">
        <v>0</v>
      </c>
      <c r="E462" s="481" t="s">
        <v>0</v>
      </c>
      <c r="F462" s="481">
        <v>1</v>
      </c>
      <c r="G462" s="481" t="s">
        <v>145</v>
      </c>
      <c r="H462" s="481" t="s">
        <v>224</v>
      </c>
    </row>
    <row r="463" spans="1:8" x14ac:dyDescent="0.2">
      <c r="A463" s="480" t="s">
        <v>288</v>
      </c>
      <c r="B463" s="479">
        <v>44894</v>
      </c>
      <c r="C463" s="481" t="s">
        <v>140</v>
      </c>
      <c r="D463" s="481">
        <v>2</v>
      </c>
      <c r="E463" s="481" t="s">
        <v>0</v>
      </c>
      <c r="F463" s="481">
        <v>0</v>
      </c>
      <c r="G463" s="481" t="s">
        <v>141</v>
      </c>
      <c r="H463" s="481" t="s">
        <v>181</v>
      </c>
    </row>
    <row r="464" spans="1:8" x14ac:dyDescent="0.2">
      <c r="A464" s="480" t="s">
        <v>289</v>
      </c>
      <c r="B464" s="479">
        <v>44894</v>
      </c>
      <c r="C464" s="481" t="s">
        <v>142</v>
      </c>
      <c r="D464" s="481">
        <v>1</v>
      </c>
      <c r="E464" s="481" t="s">
        <v>0</v>
      </c>
      <c r="F464" s="481">
        <v>0</v>
      </c>
      <c r="G464" s="481" t="s">
        <v>131</v>
      </c>
      <c r="H464" s="481" t="s">
        <v>181</v>
      </c>
    </row>
    <row r="465" spans="1:8" x14ac:dyDescent="0.2">
      <c r="A465" s="480" t="s">
        <v>294</v>
      </c>
      <c r="B465" s="479">
        <v>44894</v>
      </c>
      <c r="C465" s="481" t="s">
        <v>158</v>
      </c>
      <c r="D465" s="481">
        <v>0</v>
      </c>
      <c r="E465" s="481" t="s">
        <v>0</v>
      </c>
      <c r="F465" s="481">
        <v>0</v>
      </c>
      <c r="G465" s="481" t="s">
        <v>6</v>
      </c>
      <c r="H465" s="481" t="s">
        <v>181</v>
      </c>
    </row>
    <row r="466" spans="1:8" x14ac:dyDescent="0.2">
      <c r="A466" s="480" t="s">
        <v>295</v>
      </c>
      <c r="B466" s="479">
        <v>44894</v>
      </c>
      <c r="C466" s="481" t="s">
        <v>123</v>
      </c>
      <c r="D466" s="481">
        <v>0</v>
      </c>
      <c r="E466" s="481" t="s">
        <v>0</v>
      </c>
      <c r="F466" s="481">
        <v>1</v>
      </c>
      <c r="G466" s="481" t="s">
        <v>145</v>
      </c>
      <c r="H466" s="481" t="s">
        <v>181</v>
      </c>
    </row>
    <row r="467" spans="1:8" x14ac:dyDescent="0.2">
      <c r="A467" s="480" t="s">
        <v>288</v>
      </c>
      <c r="B467" s="479">
        <v>44894</v>
      </c>
      <c r="C467" s="481" t="s">
        <v>140</v>
      </c>
      <c r="D467" s="481">
        <v>1</v>
      </c>
      <c r="E467" s="481" t="s">
        <v>0</v>
      </c>
      <c r="F467" s="481">
        <v>1</v>
      </c>
      <c r="G467" s="481" t="s">
        <v>141</v>
      </c>
      <c r="H467" s="481" t="s">
        <v>177</v>
      </c>
    </row>
    <row r="468" spans="1:8" x14ac:dyDescent="0.2">
      <c r="A468" s="480" t="s">
        <v>289</v>
      </c>
      <c r="B468" s="479">
        <v>44894</v>
      </c>
      <c r="C468" s="481" t="s">
        <v>142</v>
      </c>
      <c r="D468" s="481">
        <v>0</v>
      </c>
      <c r="E468" s="481" t="s">
        <v>0</v>
      </c>
      <c r="F468" s="481">
        <v>1</v>
      </c>
      <c r="G468" s="481" t="s">
        <v>131</v>
      </c>
      <c r="H468" s="481" t="s">
        <v>177</v>
      </c>
    </row>
    <row r="469" spans="1:8" x14ac:dyDescent="0.2">
      <c r="A469" s="480" t="s">
        <v>294</v>
      </c>
      <c r="B469" s="479">
        <v>44894</v>
      </c>
      <c r="C469" s="481" t="s">
        <v>158</v>
      </c>
      <c r="D469" s="481">
        <v>0</v>
      </c>
      <c r="E469" s="481" t="s">
        <v>0</v>
      </c>
      <c r="F469" s="481">
        <v>2</v>
      </c>
      <c r="G469" s="481" t="s">
        <v>6</v>
      </c>
      <c r="H469" s="481" t="s">
        <v>177</v>
      </c>
    </row>
    <row r="470" spans="1:8" x14ac:dyDescent="0.2">
      <c r="A470" s="480" t="s">
        <v>295</v>
      </c>
      <c r="B470" s="479">
        <v>44894</v>
      </c>
      <c r="C470" s="481" t="s">
        <v>123</v>
      </c>
      <c r="D470" s="481">
        <v>1</v>
      </c>
      <c r="E470" s="481" t="s">
        <v>0</v>
      </c>
      <c r="F470" s="481">
        <v>1</v>
      </c>
      <c r="G470" s="481" t="s">
        <v>145</v>
      </c>
      <c r="H470" s="481" t="s">
        <v>177</v>
      </c>
    </row>
    <row r="471" spans="1:8" x14ac:dyDescent="0.2">
      <c r="A471" s="480" t="s">
        <v>288</v>
      </c>
      <c r="B471" s="479">
        <v>44894</v>
      </c>
      <c r="C471" s="481" t="s">
        <v>140</v>
      </c>
      <c r="D471" s="481">
        <v>4</v>
      </c>
      <c r="E471" s="481" t="s">
        <v>0</v>
      </c>
      <c r="F471" s="481">
        <v>0</v>
      </c>
      <c r="G471" s="481" t="s">
        <v>141</v>
      </c>
      <c r="H471" s="481" t="s">
        <v>184</v>
      </c>
    </row>
    <row r="472" spans="1:8" x14ac:dyDescent="0.2">
      <c r="A472" s="480" t="s">
        <v>289</v>
      </c>
      <c r="B472" s="479">
        <v>44894</v>
      </c>
      <c r="C472" s="481" t="s">
        <v>142</v>
      </c>
      <c r="D472" s="481">
        <v>1</v>
      </c>
      <c r="E472" s="481" t="s">
        <v>0</v>
      </c>
      <c r="F472" s="481">
        <v>1</v>
      </c>
      <c r="G472" s="481" t="s">
        <v>131</v>
      </c>
      <c r="H472" s="481" t="s">
        <v>184</v>
      </c>
    </row>
    <row r="473" spans="1:8" x14ac:dyDescent="0.2">
      <c r="A473" s="480" t="s">
        <v>294</v>
      </c>
      <c r="B473" s="479">
        <v>44894</v>
      </c>
      <c r="C473" s="481" t="s">
        <v>158</v>
      </c>
      <c r="D473" s="481">
        <v>0</v>
      </c>
      <c r="E473" s="481" t="s">
        <v>0</v>
      </c>
      <c r="F473" s="481">
        <v>4</v>
      </c>
      <c r="G473" s="481" t="s">
        <v>6</v>
      </c>
      <c r="H473" s="481" t="s">
        <v>184</v>
      </c>
    </row>
    <row r="474" spans="1:8" x14ac:dyDescent="0.2">
      <c r="A474" s="480" t="s">
        <v>295</v>
      </c>
      <c r="B474" s="479">
        <v>44894</v>
      </c>
      <c r="C474" s="481" t="s">
        <v>123</v>
      </c>
      <c r="D474" s="481">
        <v>1</v>
      </c>
      <c r="E474" s="481" t="s">
        <v>0</v>
      </c>
      <c r="F474" s="481">
        <v>1</v>
      </c>
      <c r="G474" s="481" t="s">
        <v>145</v>
      </c>
      <c r="H474" s="481" t="s">
        <v>184</v>
      </c>
    </row>
    <row r="475" spans="1:8" x14ac:dyDescent="0.2">
      <c r="A475" s="480" t="s">
        <v>288</v>
      </c>
      <c r="B475" s="479">
        <v>44894</v>
      </c>
      <c r="C475" s="481" t="s">
        <v>140</v>
      </c>
      <c r="D475" s="481">
        <v>4</v>
      </c>
      <c r="E475" s="481" t="s">
        <v>0</v>
      </c>
      <c r="F475" s="481">
        <v>0</v>
      </c>
      <c r="G475" s="481" t="s">
        <v>141</v>
      </c>
      <c r="H475" s="481" t="s">
        <v>227</v>
      </c>
    </row>
    <row r="476" spans="1:8" x14ac:dyDescent="0.2">
      <c r="A476" s="480" t="s">
        <v>289</v>
      </c>
      <c r="B476" s="479">
        <v>44894</v>
      </c>
      <c r="C476" s="481" t="s">
        <v>142</v>
      </c>
      <c r="D476" s="481">
        <v>1</v>
      </c>
      <c r="E476" s="481" t="s">
        <v>0</v>
      </c>
      <c r="F476" s="481">
        <v>1</v>
      </c>
      <c r="G476" s="481" t="s">
        <v>131</v>
      </c>
      <c r="H476" s="481" t="s">
        <v>227</v>
      </c>
    </row>
    <row r="477" spans="1:8" x14ac:dyDescent="0.2">
      <c r="A477" s="480" t="s">
        <v>294</v>
      </c>
      <c r="B477" s="479">
        <v>44894</v>
      </c>
      <c r="C477" s="481" t="s">
        <v>158</v>
      </c>
      <c r="D477" s="481">
        <v>1</v>
      </c>
      <c r="E477" s="481" t="s">
        <v>0</v>
      </c>
      <c r="F477" s="481">
        <v>2</v>
      </c>
      <c r="G477" s="481" t="s">
        <v>6</v>
      </c>
      <c r="H477" s="481" t="s">
        <v>227</v>
      </c>
    </row>
    <row r="478" spans="1:8" x14ac:dyDescent="0.2">
      <c r="A478" s="480" t="s">
        <v>295</v>
      </c>
      <c r="B478" s="479">
        <v>44894</v>
      </c>
      <c r="C478" s="481" t="s">
        <v>123</v>
      </c>
      <c r="D478" s="481">
        <v>1</v>
      </c>
      <c r="E478" s="481" t="s">
        <v>0</v>
      </c>
      <c r="F478" s="481">
        <v>1</v>
      </c>
      <c r="G478" s="481" t="s">
        <v>145</v>
      </c>
      <c r="H478" s="481" t="s">
        <v>227</v>
      </c>
    </row>
    <row r="479" spans="1:8" x14ac:dyDescent="0.2">
      <c r="A479" s="480" t="s">
        <v>288</v>
      </c>
      <c r="B479" s="479">
        <v>44894</v>
      </c>
      <c r="C479" s="481" t="s">
        <v>140</v>
      </c>
      <c r="D479" s="481">
        <v>3</v>
      </c>
      <c r="E479" s="481" t="s">
        <v>0</v>
      </c>
      <c r="F479" s="481">
        <v>0</v>
      </c>
      <c r="G479" s="481" t="s">
        <v>141</v>
      </c>
      <c r="H479" s="481" t="s">
        <v>183</v>
      </c>
    </row>
    <row r="480" spans="1:8" x14ac:dyDescent="0.2">
      <c r="A480" s="480" t="s">
        <v>289</v>
      </c>
      <c r="B480" s="479">
        <v>44894</v>
      </c>
      <c r="C480" s="481" t="s">
        <v>142</v>
      </c>
      <c r="D480" s="481">
        <v>1</v>
      </c>
      <c r="E480" s="481" t="s">
        <v>0</v>
      </c>
      <c r="F480" s="481">
        <v>1</v>
      </c>
      <c r="G480" s="481" t="s">
        <v>131</v>
      </c>
      <c r="H480" s="481" t="s">
        <v>183</v>
      </c>
    </row>
    <row r="481" spans="1:8" x14ac:dyDescent="0.2">
      <c r="A481" s="480" t="s">
        <v>294</v>
      </c>
      <c r="B481" s="479">
        <v>44894</v>
      </c>
      <c r="C481" s="481" t="s">
        <v>158</v>
      </c>
      <c r="D481" s="481">
        <v>1</v>
      </c>
      <c r="E481" s="481" t="s">
        <v>0</v>
      </c>
      <c r="F481" s="481">
        <v>3</v>
      </c>
      <c r="G481" s="481" t="s">
        <v>6</v>
      </c>
      <c r="H481" s="481" t="s">
        <v>183</v>
      </c>
    </row>
    <row r="482" spans="1:8" x14ac:dyDescent="0.2">
      <c r="A482" s="480" t="s">
        <v>295</v>
      </c>
      <c r="B482" s="479">
        <v>44894</v>
      </c>
      <c r="C482" s="481" t="s">
        <v>123</v>
      </c>
      <c r="D482" s="481">
        <v>1</v>
      </c>
      <c r="E482" s="481" t="s">
        <v>0</v>
      </c>
      <c r="F482" s="481">
        <v>1</v>
      </c>
      <c r="G482" s="481" t="s">
        <v>145</v>
      </c>
      <c r="H482" s="481" t="s">
        <v>183</v>
      </c>
    </row>
    <row r="483" spans="1:8" x14ac:dyDescent="0.2">
      <c r="A483" s="480" t="s">
        <v>288</v>
      </c>
      <c r="B483" s="479">
        <v>44894</v>
      </c>
      <c r="C483" s="481" t="s">
        <v>140</v>
      </c>
      <c r="D483" s="481">
        <v>1</v>
      </c>
      <c r="E483" s="481" t="s">
        <v>0</v>
      </c>
      <c r="F483" s="481">
        <v>0</v>
      </c>
      <c r="G483" s="481" t="s">
        <v>141</v>
      </c>
      <c r="H483" s="481" t="s">
        <v>185</v>
      </c>
    </row>
    <row r="484" spans="1:8" x14ac:dyDescent="0.2">
      <c r="A484" s="480" t="s">
        <v>289</v>
      </c>
      <c r="B484" s="479">
        <v>44894</v>
      </c>
      <c r="C484" s="481" t="s">
        <v>142</v>
      </c>
      <c r="D484" s="481">
        <v>2</v>
      </c>
      <c r="E484" s="481" t="s">
        <v>0</v>
      </c>
      <c r="F484" s="481">
        <v>1</v>
      </c>
      <c r="G484" s="481" t="s">
        <v>131</v>
      </c>
      <c r="H484" s="481" t="s">
        <v>185</v>
      </c>
    </row>
    <row r="485" spans="1:8" x14ac:dyDescent="0.2">
      <c r="A485" s="480" t="s">
        <v>294</v>
      </c>
      <c r="B485" s="479">
        <v>44894</v>
      </c>
      <c r="C485" s="481" t="s">
        <v>158</v>
      </c>
      <c r="D485" s="481">
        <v>0</v>
      </c>
      <c r="E485" s="481" t="s">
        <v>0</v>
      </c>
      <c r="F485" s="481">
        <v>2</v>
      </c>
      <c r="G485" s="481" t="s">
        <v>6</v>
      </c>
      <c r="H485" s="481" t="s">
        <v>185</v>
      </c>
    </row>
    <row r="486" spans="1:8" x14ac:dyDescent="0.2">
      <c r="A486" s="480" t="s">
        <v>295</v>
      </c>
      <c r="B486" s="479">
        <v>44894</v>
      </c>
      <c r="C486" s="481" t="s">
        <v>123</v>
      </c>
      <c r="D486" s="481">
        <v>1</v>
      </c>
      <c r="E486" s="481" t="s">
        <v>0</v>
      </c>
      <c r="F486" s="481">
        <v>1</v>
      </c>
      <c r="G486" s="481" t="s">
        <v>145</v>
      </c>
      <c r="H486" s="481" t="s">
        <v>185</v>
      </c>
    </row>
    <row r="487" spans="1:8" x14ac:dyDescent="0.2">
      <c r="A487" s="480" t="s">
        <v>288</v>
      </c>
      <c r="B487" s="479">
        <v>44894</v>
      </c>
      <c r="C487" s="481" t="s">
        <v>140</v>
      </c>
      <c r="D487" s="481">
        <v>3</v>
      </c>
      <c r="E487" s="481" t="s">
        <v>0</v>
      </c>
      <c r="F487" s="481">
        <v>0</v>
      </c>
      <c r="G487" s="481" t="s">
        <v>141</v>
      </c>
      <c r="H487" s="481" t="s">
        <v>332</v>
      </c>
    </row>
    <row r="488" spans="1:8" x14ac:dyDescent="0.2">
      <c r="A488" s="480" t="s">
        <v>289</v>
      </c>
      <c r="B488" s="479">
        <v>44894</v>
      </c>
      <c r="C488" s="481" t="s">
        <v>142</v>
      </c>
      <c r="D488" s="481">
        <v>1</v>
      </c>
      <c r="E488" s="481" t="s">
        <v>0</v>
      </c>
      <c r="F488" s="481">
        <v>1</v>
      </c>
      <c r="G488" s="481" t="s">
        <v>131</v>
      </c>
      <c r="H488" s="481" t="s">
        <v>332</v>
      </c>
    </row>
    <row r="489" spans="1:8" x14ac:dyDescent="0.2">
      <c r="A489" s="480" t="s">
        <v>294</v>
      </c>
      <c r="B489" s="479">
        <v>44894</v>
      </c>
      <c r="C489" s="481" t="s">
        <v>158</v>
      </c>
      <c r="D489" s="481">
        <v>1</v>
      </c>
      <c r="E489" s="481" t="s">
        <v>0</v>
      </c>
      <c r="F489" s="481">
        <v>2</v>
      </c>
      <c r="G489" s="481" t="s">
        <v>6</v>
      </c>
      <c r="H489" s="481" t="s">
        <v>332</v>
      </c>
    </row>
    <row r="490" spans="1:8" x14ac:dyDescent="0.2">
      <c r="A490" s="480" t="s">
        <v>295</v>
      </c>
      <c r="B490" s="479">
        <v>44894</v>
      </c>
      <c r="C490" s="481" t="s">
        <v>123</v>
      </c>
      <c r="D490" s="481">
        <v>1</v>
      </c>
      <c r="E490" s="481" t="s">
        <v>0</v>
      </c>
      <c r="F490" s="481">
        <v>1</v>
      </c>
      <c r="G490" s="481" t="s">
        <v>145</v>
      </c>
      <c r="H490" s="481" t="s">
        <v>332</v>
      </c>
    </row>
    <row r="491" spans="1:8" x14ac:dyDescent="0.2">
      <c r="A491" s="480" t="s">
        <v>288</v>
      </c>
      <c r="B491" s="479">
        <v>44894</v>
      </c>
      <c r="C491" s="483" t="s">
        <v>140</v>
      </c>
      <c r="D491" s="483">
        <v>2</v>
      </c>
      <c r="E491" s="483" t="s">
        <v>0</v>
      </c>
      <c r="F491" s="483">
        <v>1</v>
      </c>
      <c r="G491" s="483" t="s">
        <v>141</v>
      </c>
      <c r="H491" s="481" t="s">
        <v>182</v>
      </c>
    </row>
    <row r="492" spans="1:8" x14ac:dyDescent="0.2">
      <c r="A492" s="480" t="s">
        <v>289</v>
      </c>
      <c r="B492" s="479">
        <v>44894</v>
      </c>
      <c r="C492" s="483" t="s">
        <v>142</v>
      </c>
      <c r="D492" s="483">
        <v>1</v>
      </c>
      <c r="E492" s="483" t="s">
        <v>0</v>
      </c>
      <c r="F492" s="483">
        <v>0</v>
      </c>
      <c r="G492" s="483" t="s">
        <v>131</v>
      </c>
      <c r="H492" s="481" t="s">
        <v>182</v>
      </c>
    </row>
    <row r="493" spans="1:8" x14ac:dyDescent="0.2">
      <c r="A493" s="480" t="s">
        <v>294</v>
      </c>
      <c r="B493" s="479">
        <v>44894</v>
      </c>
      <c r="C493" s="483" t="s">
        <v>158</v>
      </c>
      <c r="D493" s="483">
        <v>0</v>
      </c>
      <c r="E493" s="483" t="s">
        <v>0</v>
      </c>
      <c r="F493" s="483">
        <v>2</v>
      </c>
      <c r="G493" s="483" t="s">
        <v>6</v>
      </c>
      <c r="H493" s="481" t="s">
        <v>182</v>
      </c>
    </row>
    <row r="494" spans="1:8" x14ac:dyDescent="0.2">
      <c r="A494" s="480" t="s">
        <v>295</v>
      </c>
      <c r="B494" s="479">
        <v>44894</v>
      </c>
      <c r="C494" s="483" t="s">
        <v>123</v>
      </c>
      <c r="D494" s="483">
        <v>0</v>
      </c>
      <c r="E494" s="483" t="s">
        <v>0</v>
      </c>
      <c r="F494" s="483">
        <v>2</v>
      </c>
      <c r="G494" s="483" t="s">
        <v>145</v>
      </c>
      <c r="H494" s="481" t="s">
        <v>182</v>
      </c>
    </row>
    <row r="495" spans="1:8" x14ac:dyDescent="0.2">
      <c r="A495" s="480" t="s">
        <v>300</v>
      </c>
      <c r="B495" s="479">
        <v>44895</v>
      </c>
      <c r="C495" s="481" t="s">
        <v>130</v>
      </c>
      <c r="D495" s="481">
        <v>0</v>
      </c>
      <c r="E495" s="481" t="s">
        <v>0</v>
      </c>
      <c r="F495" s="481">
        <v>2</v>
      </c>
      <c r="G495" s="481" t="s">
        <v>4</v>
      </c>
      <c r="H495" s="481" t="s">
        <v>176</v>
      </c>
    </row>
    <row r="496" spans="1:8" x14ac:dyDescent="0.2">
      <c r="A496" s="480" t="s">
        <v>301</v>
      </c>
      <c r="B496" s="479">
        <v>44895</v>
      </c>
      <c r="C496" s="481" t="s">
        <v>125</v>
      </c>
      <c r="D496" s="481">
        <v>0</v>
      </c>
      <c r="E496" s="481" t="s">
        <v>0</v>
      </c>
      <c r="F496" s="481">
        <v>1</v>
      </c>
      <c r="G496" s="481" t="s">
        <v>1</v>
      </c>
      <c r="H496" s="481" t="s">
        <v>176</v>
      </c>
    </row>
    <row r="497" spans="1:8" x14ac:dyDescent="0.2">
      <c r="A497" s="480" t="s">
        <v>306</v>
      </c>
      <c r="B497" s="479">
        <v>44895</v>
      </c>
      <c r="C497" s="481" t="s">
        <v>129</v>
      </c>
      <c r="D497" s="481">
        <v>1</v>
      </c>
      <c r="E497" s="481" t="s">
        <v>0</v>
      </c>
      <c r="F497" s="481">
        <v>1</v>
      </c>
      <c r="G497" s="481" t="s">
        <v>3</v>
      </c>
      <c r="H497" s="481" t="s">
        <v>176</v>
      </c>
    </row>
    <row r="498" spans="1:8" x14ac:dyDescent="0.2">
      <c r="A498" s="480" t="s">
        <v>307</v>
      </c>
      <c r="B498" s="479">
        <v>44895</v>
      </c>
      <c r="C498" s="481" t="s">
        <v>159</v>
      </c>
      <c r="D498" s="481">
        <v>0</v>
      </c>
      <c r="E498" s="481" t="s">
        <v>0</v>
      </c>
      <c r="F498" s="481">
        <v>2</v>
      </c>
      <c r="G498" s="481" t="s">
        <v>127</v>
      </c>
      <c r="H498" s="481" t="s">
        <v>176</v>
      </c>
    </row>
    <row r="499" spans="1:8" x14ac:dyDescent="0.2">
      <c r="A499" s="480" t="s">
        <v>300</v>
      </c>
      <c r="B499" s="479">
        <v>44895</v>
      </c>
      <c r="C499" s="481" t="s">
        <v>130</v>
      </c>
      <c r="D499" s="481">
        <v>0</v>
      </c>
      <c r="E499" s="481" t="s">
        <v>0</v>
      </c>
      <c r="F499" s="481">
        <v>1</v>
      </c>
      <c r="G499" s="481" t="s">
        <v>4</v>
      </c>
      <c r="H499" s="481" t="s">
        <v>226</v>
      </c>
    </row>
    <row r="500" spans="1:8" x14ac:dyDescent="0.2">
      <c r="A500" s="480" t="s">
        <v>301</v>
      </c>
      <c r="B500" s="479">
        <v>44895</v>
      </c>
      <c r="C500" s="481" t="s">
        <v>125</v>
      </c>
      <c r="D500" s="481">
        <v>2</v>
      </c>
      <c r="E500" s="481" t="s">
        <v>0</v>
      </c>
      <c r="F500" s="481">
        <v>3</v>
      </c>
      <c r="G500" s="481" t="s">
        <v>1</v>
      </c>
      <c r="H500" s="481" t="s">
        <v>226</v>
      </c>
    </row>
    <row r="501" spans="1:8" x14ac:dyDescent="0.2">
      <c r="A501" s="480" t="s">
        <v>306</v>
      </c>
      <c r="B501" s="479">
        <v>44895</v>
      </c>
      <c r="C501" s="481" t="s">
        <v>129</v>
      </c>
      <c r="D501" s="481">
        <v>1</v>
      </c>
      <c r="E501" s="481" t="s">
        <v>0</v>
      </c>
      <c r="F501" s="481">
        <v>3</v>
      </c>
      <c r="G501" s="481" t="s">
        <v>3</v>
      </c>
      <c r="H501" s="481" t="s">
        <v>226</v>
      </c>
    </row>
    <row r="502" spans="1:8" x14ac:dyDescent="0.2">
      <c r="A502" s="480" t="s">
        <v>307</v>
      </c>
      <c r="B502" s="479">
        <v>44895</v>
      </c>
      <c r="C502" s="481" t="s">
        <v>159</v>
      </c>
      <c r="D502" s="481">
        <v>1</v>
      </c>
      <c r="E502" s="481" t="s">
        <v>0</v>
      </c>
      <c r="F502" s="481">
        <v>1</v>
      </c>
      <c r="G502" s="481" t="s">
        <v>127</v>
      </c>
      <c r="H502" s="481" t="s">
        <v>226</v>
      </c>
    </row>
    <row r="503" spans="1:8" x14ac:dyDescent="0.2">
      <c r="A503" s="480" t="s">
        <v>300</v>
      </c>
      <c r="B503" s="479">
        <v>44895</v>
      </c>
      <c r="C503" s="481" t="s">
        <v>130</v>
      </c>
      <c r="D503" s="481">
        <v>1</v>
      </c>
      <c r="E503" s="481" t="s">
        <v>0</v>
      </c>
      <c r="F503" s="481">
        <v>2</v>
      </c>
      <c r="G503" s="481" t="s">
        <v>4</v>
      </c>
      <c r="H503" s="481" t="s">
        <v>228</v>
      </c>
    </row>
    <row r="504" spans="1:8" x14ac:dyDescent="0.2">
      <c r="A504" s="480" t="s">
        <v>301</v>
      </c>
      <c r="B504" s="479">
        <v>44895</v>
      </c>
      <c r="C504" s="481" t="s">
        <v>125</v>
      </c>
      <c r="D504" s="481">
        <v>1</v>
      </c>
      <c r="E504" s="481" t="s">
        <v>0</v>
      </c>
      <c r="F504" s="481">
        <v>2</v>
      </c>
      <c r="G504" s="481" t="s">
        <v>1</v>
      </c>
      <c r="H504" s="481" t="s">
        <v>228</v>
      </c>
    </row>
    <row r="505" spans="1:8" x14ac:dyDescent="0.2">
      <c r="A505" s="480" t="s">
        <v>306</v>
      </c>
      <c r="B505" s="479">
        <v>44895</v>
      </c>
      <c r="C505" s="481" t="s">
        <v>129</v>
      </c>
      <c r="D505" s="481">
        <v>0</v>
      </c>
      <c r="E505" s="481" t="s">
        <v>0</v>
      </c>
      <c r="F505" s="481">
        <v>2</v>
      </c>
      <c r="G505" s="481" t="s">
        <v>3</v>
      </c>
      <c r="H505" s="481" t="s">
        <v>228</v>
      </c>
    </row>
    <row r="506" spans="1:8" x14ac:dyDescent="0.2">
      <c r="A506" s="480" t="s">
        <v>307</v>
      </c>
      <c r="B506" s="479">
        <v>44895</v>
      </c>
      <c r="C506" s="481" t="s">
        <v>159</v>
      </c>
      <c r="D506" s="481">
        <v>2</v>
      </c>
      <c r="E506" s="481" t="s">
        <v>0</v>
      </c>
      <c r="F506" s="481">
        <v>3</v>
      </c>
      <c r="G506" s="481" t="s">
        <v>127</v>
      </c>
      <c r="H506" s="481" t="s">
        <v>228</v>
      </c>
    </row>
    <row r="507" spans="1:8" x14ac:dyDescent="0.2">
      <c r="A507" s="480" t="s">
        <v>300</v>
      </c>
      <c r="B507" s="479">
        <v>44895</v>
      </c>
      <c r="C507" s="481" t="s">
        <v>130</v>
      </c>
      <c r="D507" s="481">
        <v>1</v>
      </c>
      <c r="E507" s="481" t="s">
        <v>0</v>
      </c>
      <c r="F507" s="481">
        <v>2</v>
      </c>
      <c r="G507" s="481" t="s">
        <v>4</v>
      </c>
      <c r="H507" s="481" t="s">
        <v>179</v>
      </c>
    </row>
    <row r="508" spans="1:8" x14ac:dyDescent="0.2">
      <c r="A508" s="480" t="s">
        <v>301</v>
      </c>
      <c r="B508" s="479">
        <v>44895</v>
      </c>
      <c r="C508" s="481" t="s">
        <v>125</v>
      </c>
      <c r="D508" s="481">
        <v>0</v>
      </c>
      <c r="E508" s="481" t="s">
        <v>0</v>
      </c>
      <c r="F508" s="481">
        <v>2</v>
      </c>
      <c r="G508" s="481" t="s">
        <v>1</v>
      </c>
      <c r="H508" s="481" t="s">
        <v>179</v>
      </c>
    </row>
    <row r="509" spans="1:8" x14ac:dyDescent="0.2">
      <c r="A509" s="480" t="s">
        <v>306</v>
      </c>
      <c r="B509" s="479">
        <v>44895</v>
      </c>
      <c r="C509" s="481" t="s">
        <v>129</v>
      </c>
      <c r="D509" s="481">
        <v>0</v>
      </c>
      <c r="E509" s="481" t="s">
        <v>0</v>
      </c>
      <c r="F509" s="481">
        <v>1</v>
      </c>
      <c r="G509" s="481" t="s">
        <v>3</v>
      </c>
      <c r="H509" s="481" t="s">
        <v>179</v>
      </c>
    </row>
    <row r="510" spans="1:8" x14ac:dyDescent="0.2">
      <c r="A510" s="480" t="s">
        <v>307</v>
      </c>
      <c r="B510" s="479">
        <v>44895</v>
      </c>
      <c r="C510" s="481" t="s">
        <v>159</v>
      </c>
      <c r="D510" s="481">
        <v>2</v>
      </c>
      <c r="E510" s="481" t="s">
        <v>0</v>
      </c>
      <c r="F510" s="481">
        <v>2</v>
      </c>
      <c r="G510" s="481" t="s">
        <v>127</v>
      </c>
      <c r="H510" s="481" t="s">
        <v>179</v>
      </c>
    </row>
    <row r="511" spans="1:8" x14ac:dyDescent="0.2">
      <c r="A511" s="480" t="s">
        <v>300</v>
      </c>
      <c r="B511" s="479">
        <v>44895</v>
      </c>
      <c r="C511" s="481" t="s">
        <v>130</v>
      </c>
      <c r="D511" s="481">
        <v>1</v>
      </c>
      <c r="E511" s="481" t="s">
        <v>0</v>
      </c>
      <c r="F511" s="481">
        <v>3</v>
      </c>
      <c r="G511" s="481" t="s">
        <v>4</v>
      </c>
      <c r="H511" s="481" t="s">
        <v>223</v>
      </c>
    </row>
    <row r="512" spans="1:8" x14ac:dyDescent="0.2">
      <c r="A512" s="480" t="s">
        <v>301</v>
      </c>
      <c r="B512" s="479">
        <v>44895</v>
      </c>
      <c r="C512" s="481" t="s">
        <v>125</v>
      </c>
      <c r="D512" s="481">
        <v>0</v>
      </c>
      <c r="E512" s="481" t="s">
        <v>0</v>
      </c>
      <c r="F512" s="481">
        <v>2</v>
      </c>
      <c r="G512" s="481" t="s">
        <v>1</v>
      </c>
      <c r="H512" s="481" t="s">
        <v>223</v>
      </c>
    </row>
    <row r="513" spans="1:8" x14ac:dyDescent="0.2">
      <c r="A513" s="480" t="s">
        <v>306</v>
      </c>
      <c r="B513" s="479">
        <v>44895</v>
      </c>
      <c r="C513" s="481" t="s">
        <v>129</v>
      </c>
      <c r="D513" s="481">
        <v>1</v>
      </c>
      <c r="E513" s="481" t="s">
        <v>0</v>
      </c>
      <c r="F513" s="481">
        <v>3</v>
      </c>
      <c r="G513" s="481" t="s">
        <v>3</v>
      </c>
      <c r="H513" s="481" t="s">
        <v>223</v>
      </c>
    </row>
    <row r="514" spans="1:8" x14ac:dyDescent="0.2">
      <c r="A514" s="480" t="s">
        <v>307</v>
      </c>
      <c r="B514" s="479">
        <v>44895</v>
      </c>
      <c r="C514" s="481" t="s">
        <v>159</v>
      </c>
      <c r="D514" s="481">
        <v>0</v>
      </c>
      <c r="E514" s="481" t="s">
        <v>0</v>
      </c>
      <c r="F514" s="481">
        <v>4</v>
      </c>
      <c r="G514" s="481" t="s">
        <v>127</v>
      </c>
      <c r="H514" s="481" t="s">
        <v>223</v>
      </c>
    </row>
    <row r="515" spans="1:8" x14ac:dyDescent="0.2">
      <c r="A515" s="480" t="s">
        <v>300</v>
      </c>
      <c r="B515" s="479">
        <v>44895</v>
      </c>
      <c r="C515" s="481" t="s">
        <v>130</v>
      </c>
      <c r="D515" s="481">
        <v>0</v>
      </c>
      <c r="E515" s="481" t="s">
        <v>0</v>
      </c>
      <c r="F515" s="481">
        <v>2</v>
      </c>
      <c r="G515" s="481" t="s">
        <v>4</v>
      </c>
      <c r="H515" s="481" t="s">
        <v>186</v>
      </c>
    </row>
    <row r="516" spans="1:8" x14ac:dyDescent="0.2">
      <c r="A516" s="480" t="s">
        <v>301</v>
      </c>
      <c r="B516" s="479">
        <v>44895</v>
      </c>
      <c r="C516" s="481" t="s">
        <v>125</v>
      </c>
      <c r="D516" s="481">
        <v>0</v>
      </c>
      <c r="E516" s="481" t="s">
        <v>0</v>
      </c>
      <c r="F516" s="481">
        <v>2</v>
      </c>
      <c r="G516" s="481" t="s">
        <v>1</v>
      </c>
      <c r="H516" s="481" t="s">
        <v>186</v>
      </c>
    </row>
    <row r="517" spans="1:8" x14ac:dyDescent="0.2">
      <c r="A517" s="480" t="s">
        <v>306</v>
      </c>
      <c r="B517" s="479">
        <v>44895</v>
      </c>
      <c r="C517" s="481" t="s">
        <v>129</v>
      </c>
      <c r="D517" s="481">
        <v>0</v>
      </c>
      <c r="E517" s="481" t="s">
        <v>0</v>
      </c>
      <c r="F517" s="481">
        <v>3</v>
      </c>
      <c r="G517" s="481" t="s">
        <v>3</v>
      </c>
      <c r="H517" s="481" t="s">
        <v>186</v>
      </c>
    </row>
    <row r="518" spans="1:8" x14ac:dyDescent="0.2">
      <c r="A518" s="480" t="s">
        <v>307</v>
      </c>
      <c r="B518" s="479">
        <v>44895</v>
      </c>
      <c r="C518" s="481" t="s">
        <v>159</v>
      </c>
      <c r="D518" s="481">
        <v>0</v>
      </c>
      <c r="E518" s="481" t="s">
        <v>0</v>
      </c>
      <c r="F518" s="481">
        <v>2</v>
      </c>
      <c r="G518" s="481" t="s">
        <v>127</v>
      </c>
      <c r="H518" s="481" t="s">
        <v>186</v>
      </c>
    </row>
    <row r="519" spans="1:8" x14ac:dyDescent="0.2">
      <c r="A519" s="480" t="s">
        <v>300</v>
      </c>
      <c r="B519" s="479">
        <v>44895</v>
      </c>
      <c r="C519" s="481" t="s">
        <v>130</v>
      </c>
      <c r="D519" s="481">
        <v>0</v>
      </c>
      <c r="E519" s="481" t="s">
        <v>0</v>
      </c>
      <c r="F519" s="481">
        <v>1</v>
      </c>
      <c r="G519" s="481" t="s">
        <v>4</v>
      </c>
      <c r="H519" s="481" t="s">
        <v>180</v>
      </c>
    </row>
    <row r="520" spans="1:8" x14ac:dyDescent="0.2">
      <c r="A520" s="480" t="s">
        <v>301</v>
      </c>
      <c r="B520" s="479">
        <v>44895</v>
      </c>
      <c r="C520" s="481" t="s">
        <v>125</v>
      </c>
      <c r="D520" s="481">
        <v>0</v>
      </c>
      <c r="E520" s="481" t="s">
        <v>0</v>
      </c>
      <c r="F520" s="481">
        <v>3</v>
      </c>
      <c r="G520" s="481" t="s">
        <v>1</v>
      </c>
      <c r="H520" s="481" t="s">
        <v>180</v>
      </c>
    </row>
    <row r="521" spans="1:8" x14ac:dyDescent="0.2">
      <c r="A521" s="480" t="s">
        <v>306</v>
      </c>
      <c r="B521" s="479">
        <v>44895</v>
      </c>
      <c r="C521" s="481" t="s">
        <v>129</v>
      </c>
      <c r="D521" s="481">
        <v>0</v>
      </c>
      <c r="E521" s="481" t="s">
        <v>0</v>
      </c>
      <c r="F521" s="481">
        <v>2</v>
      </c>
      <c r="G521" s="481" t="s">
        <v>3</v>
      </c>
      <c r="H521" s="481" t="s">
        <v>180</v>
      </c>
    </row>
    <row r="522" spans="1:8" x14ac:dyDescent="0.2">
      <c r="A522" s="480" t="s">
        <v>307</v>
      </c>
      <c r="B522" s="479">
        <v>44895</v>
      </c>
      <c r="C522" s="481" t="s">
        <v>159</v>
      </c>
      <c r="D522" s="481">
        <v>0</v>
      </c>
      <c r="E522" s="481" t="s">
        <v>0</v>
      </c>
      <c r="F522" s="481">
        <v>1</v>
      </c>
      <c r="G522" s="481" t="s">
        <v>127</v>
      </c>
      <c r="H522" s="481" t="s">
        <v>180</v>
      </c>
    </row>
    <row r="523" spans="1:8" x14ac:dyDescent="0.2">
      <c r="A523" s="480" t="s">
        <v>300</v>
      </c>
      <c r="B523" s="479">
        <v>44895</v>
      </c>
      <c r="C523" s="481" t="s">
        <v>130</v>
      </c>
      <c r="D523" s="481">
        <v>1</v>
      </c>
      <c r="E523" s="481" t="s">
        <v>0</v>
      </c>
      <c r="F523" s="481">
        <v>3</v>
      </c>
      <c r="G523" s="481" t="s">
        <v>4</v>
      </c>
      <c r="H523" s="481" t="s">
        <v>225</v>
      </c>
    </row>
    <row r="524" spans="1:8" x14ac:dyDescent="0.2">
      <c r="A524" s="480" t="s">
        <v>301</v>
      </c>
      <c r="B524" s="479">
        <v>44895</v>
      </c>
      <c r="C524" s="481" t="s">
        <v>125</v>
      </c>
      <c r="D524" s="481">
        <v>1</v>
      </c>
      <c r="E524" s="481" t="s">
        <v>0</v>
      </c>
      <c r="F524" s="481">
        <v>3</v>
      </c>
      <c r="G524" s="481" t="s">
        <v>1</v>
      </c>
      <c r="H524" s="481" t="s">
        <v>225</v>
      </c>
    </row>
    <row r="525" spans="1:8" x14ac:dyDescent="0.2">
      <c r="A525" s="480" t="s">
        <v>306</v>
      </c>
      <c r="B525" s="479">
        <v>44895</v>
      </c>
      <c r="C525" s="481" t="s">
        <v>129</v>
      </c>
      <c r="D525" s="481">
        <v>0</v>
      </c>
      <c r="E525" s="481" t="s">
        <v>0</v>
      </c>
      <c r="F525" s="481">
        <v>2</v>
      </c>
      <c r="G525" s="481" t="s">
        <v>3</v>
      </c>
      <c r="H525" s="481" t="s">
        <v>225</v>
      </c>
    </row>
    <row r="526" spans="1:8" x14ac:dyDescent="0.2">
      <c r="A526" s="480" t="s">
        <v>307</v>
      </c>
      <c r="B526" s="479">
        <v>44895</v>
      </c>
      <c r="C526" s="481" t="s">
        <v>159</v>
      </c>
      <c r="D526" s="481">
        <v>0</v>
      </c>
      <c r="E526" s="481" t="s">
        <v>0</v>
      </c>
      <c r="F526" s="481">
        <v>2</v>
      </c>
      <c r="G526" s="481" t="s">
        <v>127</v>
      </c>
      <c r="H526" s="481" t="s">
        <v>225</v>
      </c>
    </row>
    <row r="527" spans="1:8" x14ac:dyDescent="0.2">
      <c r="A527" s="480" t="s">
        <v>300</v>
      </c>
      <c r="B527" s="479">
        <v>44895</v>
      </c>
      <c r="C527" s="481" t="s">
        <v>130</v>
      </c>
      <c r="D527" s="481">
        <v>1</v>
      </c>
      <c r="E527" s="481" t="s">
        <v>0</v>
      </c>
      <c r="F527" s="481">
        <v>2</v>
      </c>
      <c r="G527" s="481" t="s">
        <v>4</v>
      </c>
      <c r="H527" s="481" t="s">
        <v>224</v>
      </c>
    </row>
    <row r="528" spans="1:8" x14ac:dyDescent="0.2">
      <c r="A528" s="480" t="s">
        <v>301</v>
      </c>
      <c r="B528" s="479">
        <v>44895</v>
      </c>
      <c r="C528" s="481" t="s">
        <v>125</v>
      </c>
      <c r="D528" s="481">
        <v>1</v>
      </c>
      <c r="E528" s="481" t="s">
        <v>0</v>
      </c>
      <c r="F528" s="481">
        <v>2</v>
      </c>
      <c r="G528" s="481" t="s">
        <v>1</v>
      </c>
      <c r="H528" s="481" t="s">
        <v>224</v>
      </c>
    </row>
    <row r="529" spans="1:8" x14ac:dyDescent="0.2">
      <c r="A529" s="480" t="s">
        <v>306</v>
      </c>
      <c r="B529" s="479">
        <v>44895</v>
      </c>
      <c r="C529" s="481" t="s">
        <v>129</v>
      </c>
      <c r="D529" s="481">
        <v>0</v>
      </c>
      <c r="E529" s="481" t="s">
        <v>0</v>
      </c>
      <c r="F529" s="481">
        <v>2</v>
      </c>
      <c r="G529" s="481" t="s">
        <v>3</v>
      </c>
      <c r="H529" s="481" t="s">
        <v>224</v>
      </c>
    </row>
    <row r="530" spans="1:8" x14ac:dyDescent="0.2">
      <c r="A530" s="480" t="s">
        <v>307</v>
      </c>
      <c r="B530" s="479">
        <v>44895</v>
      </c>
      <c r="C530" s="481" t="s">
        <v>159</v>
      </c>
      <c r="D530" s="481">
        <v>1</v>
      </c>
      <c r="E530" s="481" t="s">
        <v>0</v>
      </c>
      <c r="F530" s="481">
        <v>2</v>
      </c>
      <c r="G530" s="481" t="s">
        <v>127</v>
      </c>
      <c r="H530" s="481" t="s">
        <v>224</v>
      </c>
    </row>
    <row r="531" spans="1:8" x14ac:dyDescent="0.2">
      <c r="A531" s="480" t="s">
        <v>300</v>
      </c>
      <c r="B531" s="479">
        <v>44895</v>
      </c>
      <c r="C531" s="481" t="s">
        <v>130</v>
      </c>
      <c r="D531" s="481">
        <v>0</v>
      </c>
      <c r="E531" s="481" t="s">
        <v>0</v>
      </c>
      <c r="F531" s="481">
        <v>1</v>
      </c>
      <c r="G531" s="481" t="s">
        <v>4</v>
      </c>
      <c r="H531" s="481" t="s">
        <v>181</v>
      </c>
    </row>
    <row r="532" spans="1:8" x14ac:dyDescent="0.2">
      <c r="A532" s="480" t="s">
        <v>301</v>
      </c>
      <c r="B532" s="479">
        <v>44895</v>
      </c>
      <c r="C532" s="481" t="s">
        <v>125</v>
      </c>
      <c r="D532" s="481">
        <v>0</v>
      </c>
      <c r="E532" s="481" t="s">
        <v>0</v>
      </c>
      <c r="F532" s="481">
        <v>2</v>
      </c>
      <c r="G532" s="481" t="s">
        <v>1</v>
      </c>
      <c r="H532" s="481" t="s">
        <v>181</v>
      </c>
    </row>
    <row r="533" spans="1:8" x14ac:dyDescent="0.2">
      <c r="A533" s="480" t="s">
        <v>306</v>
      </c>
      <c r="B533" s="479">
        <v>44895</v>
      </c>
      <c r="C533" s="481" t="s">
        <v>129</v>
      </c>
      <c r="D533" s="481">
        <v>0</v>
      </c>
      <c r="E533" s="481" t="s">
        <v>0</v>
      </c>
      <c r="F533" s="481">
        <v>3</v>
      </c>
      <c r="G533" s="481" t="s">
        <v>3</v>
      </c>
      <c r="H533" s="481" t="s">
        <v>181</v>
      </c>
    </row>
    <row r="534" spans="1:8" x14ac:dyDescent="0.2">
      <c r="A534" s="480" t="s">
        <v>307</v>
      </c>
      <c r="B534" s="479">
        <v>44895</v>
      </c>
      <c r="C534" s="481" t="s">
        <v>159</v>
      </c>
      <c r="D534" s="481">
        <v>0</v>
      </c>
      <c r="E534" s="481" t="s">
        <v>0</v>
      </c>
      <c r="F534" s="481">
        <v>2</v>
      </c>
      <c r="G534" s="481" t="s">
        <v>127</v>
      </c>
      <c r="H534" s="481" t="s">
        <v>181</v>
      </c>
    </row>
    <row r="535" spans="1:8" x14ac:dyDescent="0.2">
      <c r="A535" s="480" t="s">
        <v>300</v>
      </c>
      <c r="B535" s="479">
        <v>44895</v>
      </c>
      <c r="C535" s="481" t="s">
        <v>130</v>
      </c>
      <c r="D535" s="481">
        <v>1</v>
      </c>
      <c r="E535" s="481" t="s">
        <v>0</v>
      </c>
      <c r="F535" s="481">
        <v>1</v>
      </c>
      <c r="G535" s="481" t="s">
        <v>4</v>
      </c>
      <c r="H535" s="481" t="s">
        <v>177</v>
      </c>
    </row>
    <row r="536" spans="1:8" x14ac:dyDescent="0.2">
      <c r="A536" s="480" t="s">
        <v>301</v>
      </c>
      <c r="B536" s="479">
        <v>44895</v>
      </c>
      <c r="C536" s="481" t="s">
        <v>125</v>
      </c>
      <c r="D536" s="481">
        <v>0</v>
      </c>
      <c r="E536" s="481" t="s">
        <v>0</v>
      </c>
      <c r="F536" s="481">
        <v>0</v>
      </c>
      <c r="G536" s="481" t="s">
        <v>1</v>
      </c>
      <c r="H536" s="481" t="s">
        <v>177</v>
      </c>
    </row>
    <row r="537" spans="1:8" x14ac:dyDescent="0.2">
      <c r="A537" s="480" t="s">
        <v>306</v>
      </c>
      <c r="B537" s="479">
        <v>44895</v>
      </c>
      <c r="C537" s="481" t="s">
        <v>129</v>
      </c>
      <c r="D537" s="481">
        <v>1</v>
      </c>
      <c r="E537" s="481" t="s">
        <v>0</v>
      </c>
      <c r="F537" s="481">
        <v>2</v>
      </c>
      <c r="G537" s="481" t="s">
        <v>3</v>
      </c>
      <c r="H537" s="481" t="s">
        <v>177</v>
      </c>
    </row>
    <row r="538" spans="1:8" x14ac:dyDescent="0.2">
      <c r="A538" s="480" t="s">
        <v>307</v>
      </c>
      <c r="B538" s="479">
        <v>44895</v>
      </c>
      <c r="C538" s="481" t="s">
        <v>159</v>
      </c>
      <c r="D538" s="481">
        <v>0</v>
      </c>
      <c r="E538" s="481" t="s">
        <v>0</v>
      </c>
      <c r="F538" s="481">
        <v>0</v>
      </c>
      <c r="G538" s="481" t="s">
        <v>127</v>
      </c>
      <c r="H538" s="481" t="s">
        <v>177</v>
      </c>
    </row>
    <row r="539" spans="1:8" x14ac:dyDescent="0.2">
      <c r="A539" s="480" t="s">
        <v>300</v>
      </c>
      <c r="B539" s="479">
        <v>44895</v>
      </c>
      <c r="C539" s="481" t="s">
        <v>130</v>
      </c>
      <c r="D539" s="481">
        <v>1</v>
      </c>
      <c r="E539" s="481" t="s">
        <v>0</v>
      </c>
      <c r="F539" s="481">
        <v>3</v>
      </c>
      <c r="G539" s="481" t="s">
        <v>4</v>
      </c>
      <c r="H539" s="481" t="s">
        <v>184</v>
      </c>
    </row>
    <row r="540" spans="1:8" x14ac:dyDescent="0.2">
      <c r="A540" s="480" t="s">
        <v>301</v>
      </c>
      <c r="B540" s="479">
        <v>44895</v>
      </c>
      <c r="C540" s="481" t="s">
        <v>125</v>
      </c>
      <c r="D540" s="481">
        <v>1</v>
      </c>
      <c r="E540" s="481" t="s">
        <v>0</v>
      </c>
      <c r="F540" s="481">
        <v>2</v>
      </c>
      <c r="G540" s="481" t="s">
        <v>1</v>
      </c>
      <c r="H540" s="481" t="s">
        <v>184</v>
      </c>
    </row>
    <row r="541" spans="1:8" x14ac:dyDescent="0.2">
      <c r="A541" s="480" t="s">
        <v>306</v>
      </c>
      <c r="B541" s="479">
        <v>44895</v>
      </c>
      <c r="C541" s="481" t="s">
        <v>129</v>
      </c>
      <c r="D541" s="481">
        <v>0</v>
      </c>
      <c r="E541" s="481" t="s">
        <v>0</v>
      </c>
      <c r="F541" s="481">
        <v>4</v>
      </c>
      <c r="G541" s="481" t="s">
        <v>3</v>
      </c>
      <c r="H541" s="481" t="s">
        <v>184</v>
      </c>
    </row>
    <row r="542" spans="1:8" x14ac:dyDescent="0.2">
      <c r="A542" s="480" t="s">
        <v>307</v>
      </c>
      <c r="B542" s="479">
        <v>44895</v>
      </c>
      <c r="C542" s="481" t="s">
        <v>159</v>
      </c>
      <c r="D542" s="481">
        <v>1</v>
      </c>
      <c r="E542" s="481" t="s">
        <v>0</v>
      </c>
      <c r="F542" s="481">
        <v>2</v>
      </c>
      <c r="G542" s="481" t="s">
        <v>127</v>
      </c>
      <c r="H542" s="481" t="s">
        <v>184</v>
      </c>
    </row>
    <row r="543" spans="1:8" x14ac:dyDescent="0.2">
      <c r="A543" s="480" t="s">
        <v>300</v>
      </c>
      <c r="B543" s="479">
        <v>44895</v>
      </c>
      <c r="C543" s="481" t="s">
        <v>130</v>
      </c>
      <c r="D543" s="481">
        <v>1</v>
      </c>
      <c r="E543" s="481" t="s">
        <v>0</v>
      </c>
      <c r="F543" s="481">
        <v>2</v>
      </c>
      <c r="G543" s="481" t="s">
        <v>4</v>
      </c>
      <c r="H543" s="481" t="s">
        <v>227</v>
      </c>
    </row>
    <row r="544" spans="1:8" x14ac:dyDescent="0.2">
      <c r="A544" s="480" t="s">
        <v>301</v>
      </c>
      <c r="B544" s="479">
        <v>44895</v>
      </c>
      <c r="C544" s="481" t="s">
        <v>125</v>
      </c>
      <c r="D544" s="481">
        <v>1</v>
      </c>
      <c r="E544" s="481" t="s">
        <v>0</v>
      </c>
      <c r="F544" s="481">
        <v>3</v>
      </c>
      <c r="G544" s="481" t="s">
        <v>1</v>
      </c>
      <c r="H544" s="481" t="s">
        <v>227</v>
      </c>
    </row>
    <row r="545" spans="1:8" x14ac:dyDescent="0.2">
      <c r="A545" s="480" t="s">
        <v>306</v>
      </c>
      <c r="B545" s="479">
        <v>44895</v>
      </c>
      <c r="C545" s="481" t="s">
        <v>129</v>
      </c>
      <c r="D545" s="481">
        <v>1</v>
      </c>
      <c r="E545" s="481" t="s">
        <v>0</v>
      </c>
      <c r="F545" s="481">
        <v>3</v>
      </c>
      <c r="G545" s="481" t="s">
        <v>3</v>
      </c>
      <c r="H545" s="481" t="s">
        <v>227</v>
      </c>
    </row>
    <row r="546" spans="1:8" x14ac:dyDescent="0.2">
      <c r="A546" s="480" t="s">
        <v>307</v>
      </c>
      <c r="B546" s="479">
        <v>44895</v>
      </c>
      <c r="C546" s="481" t="s">
        <v>159</v>
      </c>
      <c r="D546" s="481">
        <v>0</v>
      </c>
      <c r="E546" s="481" t="s">
        <v>0</v>
      </c>
      <c r="F546" s="481">
        <v>2</v>
      </c>
      <c r="G546" s="481" t="s">
        <v>127</v>
      </c>
      <c r="H546" s="481" t="s">
        <v>227</v>
      </c>
    </row>
    <row r="547" spans="1:8" x14ac:dyDescent="0.2">
      <c r="A547" s="480" t="s">
        <v>300</v>
      </c>
      <c r="B547" s="479">
        <v>44895</v>
      </c>
      <c r="C547" s="481" t="s">
        <v>130</v>
      </c>
      <c r="D547" s="481">
        <v>1</v>
      </c>
      <c r="E547" s="481" t="s">
        <v>0</v>
      </c>
      <c r="F547" s="481">
        <v>2</v>
      </c>
      <c r="G547" s="481" t="s">
        <v>4</v>
      </c>
      <c r="H547" s="481" t="s">
        <v>183</v>
      </c>
    </row>
    <row r="548" spans="1:8" x14ac:dyDescent="0.2">
      <c r="A548" s="480" t="s">
        <v>301</v>
      </c>
      <c r="B548" s="479">
        <v>44895</v>
      </c>
      <c r="C548" s="481" t="s">
        <v>125</v>
      </c>
      <c r="D548" s="481">
        <v>0</v>
      </c>
      <c r="E548" s="481" t="s">
        <v>0</v>
      </c>
      <c r="F548" s="481">
        <v>2</v>
      </c>
      <c r="G548" s="481" t="s">
        <v>1</v>
      </c>
      <c r="H548" s="481" t="s">
        <v>183</v>
      </c>
    </row>
    <row r="549" spans="1:8" x14ac:dyDescent="0.2">
      <c r="A549" s="480" t="s">
        <v>306</v>
      </c>
      <c r="B549" s="479">
        <v>44895</v>
      </c>
      <c r="C549" s="481" t="s">
        <v>129</v>
      </c>
      <c r="D549" s="481">
        <v>0</v>
      </c>
      <c r="E549" s="481" t="s">
        <v>0</v>
      </c>
      <c r="F549" s="481">
        <v>3</v>
      </c>
      <c r="G549" s="481" t="s">
        <v>3</v>
      </c>
      <c r="H549" s="481" t="s">
        <v>183</v>
      </c>
    </row>
    <row r="550" spans="1:8" x14ac:dyDescent="0.2">
      <c r="A550" s="480" t="s">
        <v>307</v>
      </c>
      <c r="B550" s="479">
        <v>44895</v>
      </c>
      <c r="C550" s="481" t="s">
        <v>159</v>
      </c>
      <c r="D550" s="481">
        <v>0</v>
      </c>
      <c r="E550" s="481" t="s">
        <v>0</v>
      </c>
      <c r="F550" s="481">
        <v>2</v>
      </c>
      <c r="G550" s="481" t="s">
        <v>127</v>
      </c>
      <c r="H550" s="481" t="s">
        <v>183</v>
      </c>
    </row>
    <row r="551" spans="1:8" x14ac:dyDescent="0.2">
      <c r="A551" s="480" t="s">
        <v>300</v>
      </c>
      <c r="B551" s="479">
        <v>44895</v>
      </c>
      <c r="C551" s="481" t="s">
        <v>130</v>
      </c>
      <c r="D551" s="481">
        <v>0</v>
      </c>
      <c r="E551" s="481" t="s">
        <v>0</v>
      </c>
      <c r="F551" s="481">
        <v>1</v>
      </c>
      <c r="G551" s="481" t="s">
        <v>4</v>
      </c>
      <c r="H551" s="481" t="s">
        <v>185</v>
      </c>
    </row>
    <row r="552" spans="1:8" x14ac:dyDescent="0.2">
      <c r="A552" s="480" t="s">
        <v>301</v>
      </c>
      <c r="B552" s="479">
        <v>44895</v>
      </c>
      <c r="C552" s="481" t="s">
        <v>125</v>
      </c>
      <c r="D552" s="481">
        <v>1</v>
      </c>
      <c r="E552" s="481" t="s">
        <v>0</v>
      </c>
      <c r="F552" s="481">
        <v>1</v>
      </c>
      <c r="G552" s="481" t="s">
        <v>1</v>
      </c>
      <c r="H552" s="481" t="s">
        <v>185</v>
      </c>
    </row>
    <row r="553" spans="1:8" x14ac:dyDescent="0.2">
      <c r="A553" s="480" t="s">
        <v>306</v>
      </c>
      <c r="B553" s="479">
        <v>44895</v>
      </c>
      <c r="C553" s="481" t="s">
        <v>129</v>
      </c>
      <c r="D553" s="481">
        <v>0</v>
      </c>
      <c r="E553" s="481" t="s">
        <v>0</v>
      </c>
      <c r="F553" s="481">
        <v>1</v>
      </c>
      <c r="G553" s="481" t="s">
        <v>3</v>
      </c>
      <c r="H553" s="481" t="s">
        <v>185</v>
      </c>
    </row>
    <row r="554" spans="1:8" x14ac:dyDescent="0.2">
      <c r="A554" s="480" t="s">
        <v>307</v>
      </c>
      <c r="B554" s="479">
        <v>44895</v>
      </c>
      <c r="C554" s="481" t="s">
        <v>159</v>
      </c>
      <c r="D554" s="481">
        <v>0</v>
      </c>
      <c r="E554" s="481" t="s">
        <v>0</v>
      </c>
      <c r="F554" s="481">
        <v>1</v>
      </c>
      <c r="G554" s="481" t="s">
        <v>127</v>
      </c>
      <c r="H554" s="481" t="s">
        <v>185</v>
      </c>
    </row>
    <row r="555" spans="1:8" x14ac:dyDescent="0.2">
      <c r="A555" s="480" t="s">
        <v>300</v>
      </c>
      <c r="B555" s="479">
        <v>44895</v>
      </c>
      <c r="C555" s="481" t="s">
        <v>130</v>
      </c>
      <c r="D555" s="481">
        <v>0</v>
      </c>
      <c r="E555" s="481" t="s">
        <v>0</v>
      </c>
      <c r="F555" s="481">
        <v>2</v>
      </c>
      <c r="G555" s="481" t="s">
        <v>4</v>
      </c>
      <c r="H555" s="481" t="s">
        <v>332</v>
      </c>
    </row>
    <row r="556" spans="1:8" x14ac:dyDescent="0.2">
      <c r="A556" s="480" t="s">
        <v>301</v>
      </c>
      <c r="B556" s="479">
        <v>44895</v>
      </c>
      <c r="C556" s="481" t="s">
        <v>125</v>
      </c>
      <c r="D556" s="481">
        <v>1</v>
      </c>
      <c r="E556" s="481" t="s">
        <v>0</v>
      </c>
      <c r="F556" s="481">
        <v>2</v>
      </c>
      <c r="G556" s="481" t="s">
        <v>1</v>
      </c>
      <c r="H556" s="481" t="s">
        <v>332</v>
      </c>
    </row>
    <row r="557" spans="1:8" x14ac:dyDescent="0.2">
      <c r="A557" s="480" t="s">
        <v>306</v>
      </c>
      <c r="B557" s="479">
        <v>44895</v>
      </c>
      <c r="C557" s="481" t="s">
        <v>129</v>
      </c>
      <c r="D557" s="481">
        <v>0</v>
      </c>
      <c r="E557" s="481" t="s">
        <v>0</v>
      </c>
      <c r="F557" s="481">
        <v>3</v>
      </c>
      <c r="G557" s="481" t="s">
        <v>3</v>
      </c>
      <c r="H557" s="481" t="s">
        <v>332</v>
      </c>
    </row>
    <row r="558" spans="1:8" x14ac:dyDescent="0.2">
      <c r="A558" s="480" t="s">
        <v>307</v>
      </c>
      <c r="B558" s="479">
        <v>44895</v>
      </c>
      <c r="C558" s="481" t="s">
        <v>159</v>
      </c>
      <c r="D558" s="481">
        <v>0</v>
      </c>
      <c r="E558" s="481" t="s">
        <v>0</v>
      </c>
      <c r="F558" s="481">
        <v>2</v>
      </c>
      <c r="G558" s="481" t="s">
        <v>127</v>
      </c>
      <c r="H558" s="481" t="s">
        <v>332</v>
      </c>
    </row>
    <row r="559" spans="1:8" x14ac:dyDescent="0.2">
      <c r="A559" s="480" t="s">
        <v>300</v>
      </c>
      <c r="B559" s="479">
        <v>44895</v>
      </c>
      <c r="C559" s="483" t="s">
        <v>130</v>
      </c>
      <c r="D559" s="483">
        <v>1</v>
      </c>
      <c r="E559" s="483" t="s">
        <v>0</v>
      </c>
      <c r="F559" s="483">
        <v>1</v>
      </c>
      <c r="G559" s="483" t="s">
        <v>4</v>
      </c>
      <c r="H559" s="481" t="s">
        <v>182</v>
      </c>
    </row>
    <row r="560" spans="1:8" x14ac:dyDescent="0.2">
      <c r="A560" s="480" t="s">
        <v>301</v>
      </c>
      <c r="B560" s="479">
        <v>44895</v>
      </c>
      <c r="C560" s="483" t="s">
        <v>125</v>
      </c>
      <c r="D560" s="483">
        <v>1</v>
      </c>
      <c r="E560" s="483" t="s">
        <v>0</v>
      </c>
      <c r="F560" s="483">
        <v>2</v>
      </c>
      <c r="G560" s="483" t="s">
        <v>1</v>
      </c>
      <c r="H560" s="481" t="s">
        <v>182</v>
      </c>
    </row>
    <row r="561" spans="1:8" x14ac:dyDescent="0.2">
      <c r="A561" s="480" t="s">
        <v>306</v>
      </c>
      <c r="B561" s="479">
        <v>44895</v>
      </c>
      <c r="C561" s="483" t="s">
        <v>129</v>
      </c>
      <c r="D561" s="483">
        <v>0</v>
      </c>
      <c r="E561" s="483" t="s">
        <v>0</v>
      </c>
      <c r="F561" s="483">
        <v>1</v>
      </c>
      <c r="G561" s="483" t="s">
        <v>3</v>
      </c>
      <c r="H561" s="481" t="s">
        <v>182</v>
      </c>
    </row>
    <row r="562" spans="1:8" x14ac:dyDescent="0.2">
      <c r="A562" s="480" t="s">
        <v>307</v>
      </c>
      <c r="B562" s="479">
        <v>44895</v>
      </c>
      <c r="C562" s="483" t="s">
        <v>159</v>
      </c>
      <c r="D562" s="483">
        <v>1</v>
      </c>
      <c r="E562" s="483" t="s">
        <v>0</v>
      </c>
      <c r="F562" s="483">
        <v>1</v>
      </c>
      <c r="G562" s="483" t="s">
        <v>127</v>
      </c>
      <c r="H562" s="481" t="s">
        <v>182</v>
      </c>
    </row>
    <row r="563" spans="1:8" x14ac:dyDescent="0.2">
      <c r="A563" s="480" t="s">
        <v>312</v>
      </c>
      <c r="B563" s="479">
        <v>44896</v>
      </c>
      <c r="C563" s="481" t="s">
        <v>8</v>
      </c>
      <c r="D563" s="481">
        <v>2</v>
      </c>
      <c r="E563" s="481" t="s">
        <v>0</v>
      </c>
      <c r="F563" s="481">
        <v>1</v>
      </c>
      <c r="G563" s="481" t="s">
        <v>11</v>
      </c>
      <c r="H563" s="481" t="s">
        <v>176</v>
      </c>
    </row>
    <row r="564" spans="1:8" x14ac:dyDescent="0.2">
      <c r="A564" s="480" t="s">
        <v>313</v>
      </c>
      <c r="B564" s="479">
        <v>44896</v>
      </c>
      <c r="C564" s="481" t="s">
        <v>160</v>
      </c>
      <c r="D564" s="481">
        <v>0</v>
      </c>
      <c r="E564" s="481" t="s">
        <v>0</v>
      </c>
      <c r="F564" s="481">
        <v>2</v>
      </c>
      <c r="G564" s="481" t="s">
        <v>7</v>
      </c>
      <c r="H564" s="481" t="s">
        <v>176</v>
      </c>
    </row>
    <row r="565" spans="1:8" x14ac:dyDescent="0.2">
      <c r="A565" s="480" t="s">
        <v>318</v>
      </c>
      <c r="B565" s="479">
        <v>44896</v>
      </c>
      <c r="C565" s="481" t="s">
        <v>70</v>
      </c>
      <c r="D565" s="481">
        <v>2</v>
      </c>
      <c r="E565" s="481" t="s">
        <v>0</v>
      </c>
      <c r="F565" s="481">
        <v>1</v>
      </c>
      <c r="G565" s="481" t="s">
        <v>104</v>
      </c>
      <c r="H565" s="481" t="s">
        <v>176</v>
      </c>
    </row>
    <row r="566" spans="1:8" x14ac:dyDescent="0.2">
      <c r="A566" s="480" t="s">
        <v>319</v>
      </c>
      <c r="B566" s="479">
        <v>44896</v>
      </c>
      <c r="C566" s="481" t="s">
        <v>150</v>
      </c>
      <c r="D566" s="481">
        <v>3</v>
      </c>
      <c r="E566" s="481" t="s">
        <v>0</v>
      </c>
      <c r="F566" s="481">
        <v>1</v>
      </c>
      <c r="G566" s="481" t="s">
        <v>126</v>
      </c>
      <c r="H566" s="481" t="s">
        <v>176</v>
      </c>
    </row>
    <row r="567" spans="1:8" x14ac:dyDescent="0.2">
      <c r="A567" s="480" t="s">
        <v>312</v>
      </c>
      <c r="B567" s="479">
        <v>44896</v>
      </c>
      <c r="C567" s="481" t="s">
        <v>8</v>
      </c>
      <c r="D567" s="481">
        <v>1</v>
      </c>
      <c r="E567" s="481" t="s">
        <v>0</v>
      </c>
      <c r="F567" s="481">
        <v>3</v>
      </c>
      <c r="G567" s="481" t="s">
        <v>11</v>
      </c>
      <c r="H567" s="481" t="s">
        <v>226</v>
      </c>
    </row>
    <row r="568" spans="1:8" x14ac:dyDescent="0.2">
      <c r="A568" s="480" t="s">
        <v>313</v>
      </c>
      <c r="B568" s="479">
        <v>44896</v>
      </c>
      <c r="C568" s="481" t="s">
        <v>160</v>
      </c>
      <c r="D568" s="481">
        <v>1</v>
      </c>
      <c r="E568" s="481" t="s">
        <v>0</v>
      </c>
      <c r="F568" s="481">
        <v>3</v>
      </c>
      <c r="G568" s="481" t="s">
        <v>7</v>
      </c>
      <c r="H568" s="481" t="s">
        <v>226</v>
      </c>
    </row>
    <row r="569" spans="1:8" x14ac:dyDescent="0.2">
      <c r="A569" s="480" t="s">
        <v>318</v>
      </c>
      <c r="B569" s="479">
        <v>44896</v>
      </c>
      <c r="C569" s="481" t="s">
        <v>70</v>
      </c>
      <c r="D569" s="481">
        <v>0</v>
      </c>
      <c r="E569" s="481" t="s">
        <v>0</v>
      </c>
      <c r="F569" s="481">
        <v>2</v>
      </c>
      <c r="G569" s="481" t="s">
        <v>104</v>
      </c>
      <c r="H569" s="481" t="s">
        <v>226</v>
      </c>
    </row>
    <row r="570" spans="1:8" x14ac:dyDescent="0.2">
      <c r="A570" s="480" t="s">
        <v>319</v>
      </c>
      <c r="B570" s="479">
        <v>44896</v>
      </c>
      <c r="C570" s="481" t="s">
        <v>150</v>
      </c>
      <c r="D570" s="481">
        <v>1</v>
      </c>
      <c r="E570" s="481" t="s">
        <v>0</v>
      </c>
      <c r="F570" s="481">
        <v>1</v>
      </c>
      <c r="G570" s="481" t="s">
        <v>126</v>
      </c>
      <c r="H570" s="481" t="s">
        <v>226</v>
      </c>
    </row>
    <row r="571" spans="1:8" x14ac:dyDescent="0.2">
      <c r="A571" s="480" t="s">
        <v>312</v>
      </c>
      <c r="B571" s="479">
        <v>44896</v>
      </c>
      <c r="C571" s="481" t="s">
        <v>8</v>
      </c>
      <c r="D571" s="481">
        <v>1</v>
      </c>
      <c r="E571" s="481" t="s">
        <v>0</v>
      </c>
      <c r="F571" s="481">
        <v>3</v>
      </c>
      <c r="G571" s="481" t="s">
        <v>11</v>
      </c>
      <c r="H571" s="481" t="s">
        <v>228</v>
      </c>
    </row>
    <row r="572" spans="1:8" x14ac:dyDescent="0.2">
      <c r="A572" s="480" t="s">
        <v>313</v>
      </c>
      <c r="B572" s="479">
        <v>44896</v>
      </c>
      <c r="C572" s="481" t="s">
        <v>160</v>
      </c>
      <c r="D572" s="481">
        <v>1</v>
      </c>
      <c r="E572" s="481" t="s">
        <v>0</v>
      </c>
      <c r="F572" s="481">
        <v>2</v>
      </c>
      <c r="G572" s="481" t="s">
        <v>7</v>
      </c>
      <c r="H572" s="481" t="s">
        <v>228</v>
      </c>
    </row>
    <row r="573" spans="1:8" x14ac:dyDescent="0.2">
      <c r="A573" s="480" t="s">
        <v>318</v>
      </c>
      <c r="B573" s="479">
        <v>44896</v>
      </c>
      <c r="C573" s="481" t="s">
        <v>70</v>
      </c>
      <c r="D573" s="481">
        <v>2</v>
      </c>
      <c r="E573" s="481" t="s">
        <v>0</v>
      </c>
      <c r="F573" s="481">
        <v>3</v>
      </c>
      <c r="G573" s="481" t="s">
        <v>104</v>
      </c>
      <c r="H573" s="481" t="s">
        <v>228</v>
      </c>
    </row>
    <row r="574" spans="1:8" x14ac:dyDescent="0.2">
      <c r="A574" s="480" t="s">
        <v>319</v>
      </c>
      <c r="B574" s="479">
        <v>44896</v>
      </c>
      <c r="C574" s="481" t="s">
        <v>150</v>
      </c>
      <c r="D574" s="481">
        <v>1</v>
      </c>
      <c r="E574" s="481" t="s">
        <v>0</v>
      </c>
      <c r="F574" s="481">
        <v>2</v>
      </c>
      <c r="G574" s="481" t="s">
        <v>126</v>
      </c>
      <c r="H574" s="481" t="s">
        <v>228</v>
      </c>
    </row>
    <row r="575" spans="1:8" x14ac:dyDescent="0.2">
      <c r="A575" s="480" t="s">
        <v>312</v>
      </c>
      <c r="B575" s="479">
        <v>44896</v>
      </c>
      <c r="C575" s="481" t="s">
        <v>8</v>
      </c>
      <c r="D575" s="481">
        <v>1</v>
      </c>
      <c r="E575" s="481" t="s">
        <v>0</v>
      </c>
      <c r="F575" s="481">
        <v>2</v>
      </c>
      <c r="G575" s="481" t="s">
        <v>11</v>
      </c>
      <c r="H575" s="481" t="s">
        <v>179</v>
      </c>
    </row>
    <row r="576" spans="1:8" x14ac:dyDescent="0.2">
      <c r="A576" s="480" t="s">
        <v>313</v>
      </c>
      <c r="B576" s="479">
        <v>44896</v>
      </c>
      <c r="C576" s="481" t="s">
        <v>160</v>
      </c>
      <c r="D576" s="481">
        <v>0</v>
      </c>
      <c r="E576" s="481" t="s">
        <v>0</v>
      </c>
      <c r="F576" s="481">
        <v>1</v>
      </c>
      <c r="G576" s="481" t="s">
        <v>7</v>
      </c>
      <c r="H576" s="481" t="s">
        <v>179</v>
      </c>
    </row>
    <row r="577" spans="1:8" x14ac:dyDescent="0.2">
      <c r="A577" s="480" t="s">
        <v>318</v>
      </c>
      <c r="B577" s="479">
        <v>44896</v>
      </c>
      <c r="C577" s="481" t="s">
        <v>70</v>
      </c>
      <c r="D577" s="481">
        <v>2</v>
      </c>
      <c r="E577" s="481" t="s">
        <v>0</v>
      </c>
      <c r="F577" s="481">
        <v>1</v>
      </c>
      <c r="G577" s="481" t="s">
        <v>104</v>
      </c>
      <c r="H577" s="481" t="s">
        <v>179</v>
      </c>
    </row>
    <row r="578" spans="1:8" x14ac:dyDescent="0.2">
      <c r="A578" s="480" t="s">
        <v>319</v>
      </c>
      <c r="B578" s="479">
        <v>44896</v>
      </c>
      <c r="C578" s="481" t="s">
        <v>150</v>
      </c>
      <c r="D578" s="481">
        <v>1</v>
      </c>
      <c r="E578" s="481" t="s">
        <v>0</v>
      </c>
      <c r="F578" s="481">
        <v>1</v>
      </c>
      <c r="G578" s="481" t="s">
        <v>126</v>
      </c>
      <c r="H578" s="481" t="s">
        <v>179</v>
      </c>
    </row>
    <row r="579" spans="1:8" x14ac:dyDescent="0.2">
      <c r="A579" s="480" t="s">
        <v>312</v>
      </c>
      <c r="B579" s="479">
        <v>44896</v>
      </c>
      <c r="C579" s="481" t="s">
        <v>8</v>
      </c>
      <c r="D579" s="481">
        <v>1</v>
      </c>
      <c r="E579" s="481" t="s">
        <v>0</v>
      </c>
      <c r="F579" s="481">
        <v>3</v>
      </c>
      <c r="G579" s="481" t="s">
        <v>11</v>
      </c>
      <c r="H579" s="481" t="s">
        <v>223</v>
      </c>
    </row>
    <row r="580" spans="1:8" x14ac:dyDescent="0.2">
      <c r="A580" s="480" t="s">
        <v>313</v>
      </c>
      <c r="B580" s="479">
        <v>44896</v>
      </c>
      <c r="C580" s="481" t="s">
        <v>160</v>
      </c>
      <c r="D580" s="481">
        <v>0</v>
      </c>
      <c r="E580" s="481" t="s">
        <v>0</v>
      </c>
      <c r="F580" s="481">
        <v>2</v>
      </c>
      <c r="G580" s="481" t="s">
        <v>7</v>
      </c>
      <c r="H580" s="481" t="s">
        <v>223</v>
      </c>
    </row>
    <row r="581" spans="1:8" x14ac:dyDescent="0.2">
      <c r="A581" s="480" t="s">
        <v>318</v>
      </c>
      <c r="B581" s="479">
        <v>44896</v>
      </c>
      <c r="C581" s="481" t="s">
        <v>70</v>
      </c>
      <c r="D581" s="481">
        <v>2</v>
      </c>
      <c r="E581" s="481" t="s">
        <v>0</v>
      </c>
      <c r="F581" s="481">
        <v>1</v>
      </c>
      <c r="G581" s="481" t="s">
        <v>104</v>
      </c>
      <c r="H581" s="481" t="s">
        <v>223</v>
      </c>
    </row>
    <row r="582" spans="1:8" x14ac:dyDescent="0.2">
      <c r="A582" s="480" t="s">
        <v>319</v>
      </c>
      <c r="B582" s="479">
        <v>44896</v>
      </c>
      <c r="C582" s="481" t="s">
        <v>150</v>
      </c>
      <c r="D582" s="481">
        <v>2</v>
      </c>
      <c r="E582" s="481" t="s">
        <v>0</v>
      </c>
      <c r="F582" s="481">
        <v>2</v>
      </c>
      <c r="G582" s="481" t="s">
        <v>126</v>
      </c>
      <c r="H582" s="481" t="s">
        <v>223</v>
      </c>
    </row>
    <row r="583" spans="1:8" x14ac:dyDescent="0.2">
      <c r="A583" s="480" t="s">
        <v>312</v>
      </c>
      <c r="B583" s="479">
        <v>44896</v>
      </c>
      <c r="C583" s="481" t="s">
        <v>8</v>
      </c>
      <c r="D583" s="481">
        <v>1</v>
      </c>
      <c r="E583" s="481" t="s">
        <v>0</v>
      </c>
      <c r="F583" s="481">
        <v>2</v>
      </c>
      <c r="G583" s="481" t="s">
        <v>11</v>
      </c>
      <c r="H583" s="481" t="s">
        <v>186</v>
      </c>
    </row>
    <row r="584" spans="1:8" x14ac:dyDescent="0.2">
      <c r="A584" s="480" t="s">
        <v>313</v>
      </c>
      <c r="B584" s="479">
        <v>44896</v>
      </c>
      <c r="C584" s="481" t="s">
        <v>160</v>
      </c>
      <c r="D584" s="481">
        <v>0</v>
      </c>
      <c r="E584" s="481" t="s">
        <v>0</v>
      </c>
      <c r="F584" s="481">
        <v>3</v>
      </c>
      <c r="G584" s="481" t="s">
        <v>7</v>
      </c>
      <c r="H584" s="481" t="s">
        <v>186</v>
      </c>
    </row>
    <row r="585" spans="1:8" x14ac:dyDescent="0.2">
      <c r="A585" s="480" t="s">
        <v>318</v>
      </c>
      <c r="B585" s="479">
        <v>44896</v>
      </c>
      <c r="C585" s="481" t="s">
        <v>70</v>
      </c>
      <c r="D585" s="481">
        <v>1</v>
      </c>
      <c r="E585" s="481" t="s">
        <v>0</v>
      </c>
      <c r="F585" s="481">
        <v>2</v>
      </c>
      <c r="G585" s="481" t="s">
        <v>104</v>
      </c>
      <c r="H585" s="481" t="s">
        <v>186</v>
      </c>
    </row>
    <row r="586" spans="1:8" x14ac:dyDescent="0.2">
      <c r="A586" s="480" t="s">
        <v>319</v>
      </c>
      <c r="B586" s="479">
        <v>44896</v>
      </c>
      <c r="C586" s="481" t="s">
        <v>150</v>
      </c>
      <c r="D586" s="481">
        <v>0</v>
      </c>
      <c r="E586" s="481" t="s">
        <v>0</v>
      </c>
      <c r="F586" s="481">
        <v>0</v>
      </c>
      <c r="G586" s="481" t="s">
        <v>126</v>
      </c>
      <c r="H586" s="481" t="s">
        <v>186</v>
      </c>
    </row>
    <row r="587" spans="1:8" x14ac:dyDescent="0.2">
      <c r="A587" s="480" t="s">
        <v>312</v>
      </c>
      <c r="B587" s="479">
        <v>44896</v>
      </c>
      <c r="C587" s="481" t="s">
        <v>8</v>
      </c>
      <c r="D587" s="481">
        <v>0</v>
      </c>
      <c r="E587" s="481" t="s">
        <v>0</v>
      </c>
      <c r="F587" s="481">
        <v>1</v>
      </c>
      <c r="G587" s="481" t="s">
        <v>11</v>
      </c>
      <c r="H587" s="481" t="s">
        <v>180</v>
      </c>
    </row>
    <row r="588" spans="1:8" x14ac:dyDescent="0.2">
      <c r="A588" s="480" t="s">
        <v>313</v>
      </c>
      <c r="B588" s="479">
        <v>44896</v>
      </c>
      <c r="C588" s="481" t="s">
        <v>160</v>
      </c>
      <c r="D588" s="481">
        <v>1</v>
      </c>
      <c r="E588" s="481" t="s">
        <v>0</v>
      </c>
      <c r="F588" s="481">
        <v>3</v>
      </c>
      <c r="G588" s="481" t="s">
        <v>7</v>
      </c>
      <c r="H588" s="481" t="s">
        <v>180</v>
      </c>
    </row>
    <row r="589" spans="1:8" x14ac:dyDescent="0.2">
      <c r="A589" s="480" t="s">
        <v>318</v>
      </c>
      <c r="B589" s="479">
        <v>44896</v>
      </c>
      <c r="C589" s="481" t="s">
        <v>70</v>
      </c>
      <c r="D589" s="481">
        <v>1</v>
      </c>
      <c r="E589" s="481" t="s">
        <v>0</v>
      </c>
      <c r="F589" s="481">
        <v>1</v>
      </c>
      <c r="G589" s="481" t="s">
        <v>104</v>
      </c>
      <c r="H589" s="481" t="s">
        <v>180</v>
      </c>
    </row>
    <row r="590" spans="1:8" x14ac:dyDescent="0.2">
      <c r="A590" s="480" t="s">
        <v>319</v>
      </c>
      <c r="B590" s="479">
        <v>44896</v>
      </c>
      <c r="C590" s="481" t="s">
        <v>150</v>
      </c>
      <c r="D590" s="481">
        <v>2</v>
      </c>
      <c r="E590" s="481" t="s">
        <v>0</v>
      </c>
      <c r="F590" s="481">
        <v>3</v>
      </c>
      <c r="G590" s="481" t="s">
        <v>126</v>
      </c>
      <c r="H590" s="481" t="s">
        <v>180</v>
      </c>
    </row>
    <row r="591" spans="1:8" x14ac:dyDescent="0.2">
      <c r="A591" s="480" t="s">
        <v>312</v>
      </c>
      <c r="B591" s="479">
        <v>44896</v>
      </c>
      <c r="C591" s="481" t="s">
        <v>8</v>
      </c>
      <c r="D591" s="481">
        <v>0</v>
      </c>
      <c r="E591" s="481" t="s">
        <v>0</v>
      </c>
      <c r="F591" s="481">
        <v>1</v>
      </c>
      <c r="G591" s="481" t="s">
        <v>11</v>
      </c>
      <c r="H591" s="481" t="s">
        <v>225</v>
      </c>
    </row>
    <row r="592" spans="1:8" x14ac:dyDescent="0.2">
      <c r="A592" s="480" t="s">
        <v>313</v>
      </c>
      <c r="B592" s="479">
        <v>44896</v>
      </c>
      <c r="C592" s="481" t="s">
        <v>160</v>
      </c>
      <c r="D592" s="481">
        <v>0</v>
      </c>
      <c r="E592" s="481" t="s">
        <v>0</v>
      </c>
      <c r="F592" s="481">
        <v>2</v>
      </c>
      <c r="G592" s="481" t="s">
        <v>7</v>
      </c>
      <c r="H592" s="481" t="s">
        <v>225</v>
      </c>
    </row>
    <row r="593" spans="1:8" x14ac:dyDescent="0.2">
      <c r="A593" s="480" t="s">
        <v>318</v>
      </c>
      <c r="B593" s="479">
        <v>44896</v>
      </c>
      <c r="C593" s="481" t="s">
        <v>70</v>
      </c>
      <c r="D593" s="481">
        <v>1</v>
      </c>
      <c r="E593" s="481" t="s">
        <v>0</v>
      </c>
      <c r="F593" s="481">
        <v>1</v>
      </c>
      <c r="G593" s="481" t="s">
        <v>104</v>
      </c>
      <c r="H593" s="481" t="s">
        <v>225</v>
      </c>
    </row>
    <row r="594" spans="1:8" x14ac:dyDescent="0.2">
      <c r="A594" s="480" t="s">
        <v>319</v>
      </c>
      <c r="B594" s="479">
        <v>44896</v>
      </c>
      <c r="C594" s="481" t="s">
        <v>150</v>
      </c>
      <c r="D594" s="481">
        <v>1</v>
      </c>
      <c r="E594" s="481" t="s">
        <v>0</v>
      </c>
      <c r="F594" s="481">
        <v>0</v>
      </c>
      <c r="G594" s="481" t="s">
        <v>126</v>
      </c>
      <c r="H594" s="481" t="s">
        <v>225</v>
      </c>
    </row>
    <row r="595" spans="1:8" x14ac:dyDescent="0.2">
      <c r="A595" s="480" t="s">
        <v>312</v>
      </c>
      <c r="B595" s="479">
        <v>44896</v>
      </c>
      <c r="C595" s="481" t="s">
        <v>8</v>
      </c>
      <c r="D595" s="481">
        <v>1</v>
      </c>
      <c r="E595" s="481" t="s">
        <v>0</v>
      </c>
      <c r="F595" s="481">
        <v>1</v>
      </c>
      <c r="G595" s="481" t="s">
        <v>11</v>
      </c>
      <c r="H595" s="481" t="s">
        <v>224</v>
      </c>
    </row>
    <row r="596" spans="1:8" x14ac:dyDescent="0.2">
      <c r="A596" s="480" t="s">
        <v>313</v>
      </c>
      <c r="B596" s="479">
        <v>44896</v>
      </c>
      <c r="C596" s="481" t="s">
        <v>160</v>
      </c>
      <c r="D596" s="481">
        <v>0</v>
      </c>
      <c r="E596" s="481" t="s">
        <v>0</v>
      </c>
      <c r="F596" s="481">
        <v>2</v>
      </c>
      <c r="G596" s="481" t="s">
        <v>7</v>
      </c>
      <c r="H596" s="481" t="s">
        <v>224</v>
      </c>
    </row>
    <row r="597" spans="1:8" x14ac:dyDescent="0.2">
      <c r="A597" s="480" t="s">
        <v>318</v>
      </c>
      <c r="B597" s="479">
        <v>44896</v>
      </c>
      <c r="C597" s="481" t="s">
        <v>70</v>
      </c>
      <c r="D597" s="481">
        <v>1</v>
      </c>
      <c r="E597" s="481" t="s">
        <v>0</v>
      </c>
      <c r="F597" s="481">
        <v>2</v>
      </c>
      <c r="G597" s="481" t="s">
        <v>104</v>
      </c>
      <c r="H597" s="481" t="s">
        <v>224</v>
      </c>
    </row>
    <row r="598" spans="1:8" x14ac:dyDescent="0.2">
      <c r="A598" s="480" t="s">
        <v>319</v>
      </c>
      <c r="B598" s="479">
        <v>44896</v>
      </c>
      <c r="C598" s="481" t="s">
        <v>150</v>
      </c>
      <c r="D598" s="481">
        <v>1</v>
      </c>
      <c r="E598" s="481" t="s">
        <v>0</v>
      </c>
      <c r="F598" s="481">
        <v>0</v>
      </c>
      <c r="G598" s="481" t="s">
        <v>126</v>
      </c>
      <c r="H598" s="481" t="s">
        <v>224</v>
      </c>
    </row>
    <row r="599" spans="1:8" x14ac:dyDescent="0.2">
      <c r="A599" s="480" t="s">
        <v>312</v>
      </c>
      <c r="B599" s="479">
        <v>44896</v>
      </c>
      <c r="C599" s="481" t="s">
        <v>8</v>
      </c>
      <c r="D599" s="481">
        <v>0</v>
      </c>
      <c r="E599" s="481" t="s">
        <v>0</v>
      </c>
      <c r="F599" s="481">
        <v>1</v>
      </c>
      <c r="G599" s="481" t="s">
        <v>11</v>
      </c>
      <c r="H599" s="481" t="s">
        <v>181</v>
      </c>
    </row>
    <row r="600" spans="1:8" x14ac:dyDescent="0.2">
      <c r="A600" s="480" t="s">
        <v>313</v>
      </c>
      <c r="B600" s="479">
        <v>44896</v>
      </c>
      <c r="C600" s="481" t="s">
        <v>160</v>
      </c>
      <c r="D600" s="481">
        <v>0</v>
      </c>
      <c r="E600" s="481" t="s">
        <v>0</v>
      </c>
      <c r="F600" s="481">
        <v>2</v>
      </c>
      <c r="G600" s="481" t="s">
        <v>7</v>
      </c>
      <c r="H600" s="481" t="s">
        <v>181</v>
      </c>
    </row>
    <row r="601" spans="1:8" x14ac:dyDescent="0.2">
      <c r="A601" s="480" t="s">
        <v>318</v>
      </c>
      <c r="B601" s="479">
        <v>44896</v>
      </c>
      <c r="C601" s="481" t="s">
        <v>70</v>
      </c>
      <c r="D601" s="481">
        <v>0</v>
      </c>
      <c r="E601" s="481" t="s">
        <v>0</v>
      </c>
      <c r="F601" s="481">
        <v>1</v>
      </c>
      <c r="G601" s="481" t="s">
        <v>104</v>
      </c>
      <c r="H601" s="481" t="s">
        <v>181</v>
      </c>
    </row>
    <row r="602" spans="1:8" x14ac:dyDescent="0.2">
      <c r="A602" s="480" t="s">
        <v>319</v>
      </c>
      <c r="B602" s="479">
        <v>44896</v>
      </c>
      <c r="C602" s="481" t="s">
        <v>150</v>
      </c>
      <c r="D602" s="481">
        <v>1</v>
      </c>
      <c r="E602" s="481" t="s">
        <v>0</v>
      </c>
      <c r="F602" s="481">
        <v>0</v>
      </c>
      <c r="G602" s="481" t="s">
        <v>126</v>
      </c>
      <c r="H602" s="481" t="s">
        <v>181</v>
      </c>
    </row>
    <row r="603" spans="1:8" x14ac:dyDescent="0.2">
      <c r="A603" s="480" t="s">
        <v>312</v>
      </c>
      <c r="B603" s="479">
        <v>44896</v>
      </c>
      <c r="C603" s="481" t="s">
        <v>8</v>
      </c>
      <c r="D603" s="481">
        <v>1</v>
      </c>
      <c r="E603" s="481" t="s">
        <v>0</v>
      </c>
      <c r="F603" s="481">
        <v>2</v>
      </c>
      <c r="G603" s="481" t="s">
        <v>11</v>
      </c>
      <c r="H603" s="481" t="s">
        <v>177</v>
      </c>
    </row>
    <row r="604" spans="1:8" x14ac:dyDescent="0.2">
      <c r="A604" s="480" t="s">
        <v>313</v>
      </c>
      <c r="B604" s="479">
        <v>44896</v>
      </c>
      <c r="C604" s="481" t="s">
        <v>160</v>
      </c>
      <c r="D604" s="481">
        <v>0</v>
      </c>
      <c r="E604" s="481" t="s">
        <v>0</v>
      </c>
      <c r="F604" s="481">
        <v>3</v>
      </c>
      <c r="G604" s="481" t="s">
        <v>7</v>
      </c>
      <c r="H604" s="481" t="s">
        <v>177</v>
      </c>
    </row>
    <row r="605" spans="1:8" x14ac:dyDescent="0.2">
      <c r="A605" s="480" t="s">
        <v>318</v>
      </c>
      <c r="B605" s="479">
        <v>44896</v>
      </c>
      <c r="C605" s="481" t="s">
        <v>70</v>
      </c>
      <c r="D605" s="481">
        <v>1</v>
      </c>
      <c r="E605" s="481" t="s">
        <v>0</v>
      </c>
      <c r="F605" s="481">
        <v>2</v>
      </c>
      <c r="G605" s="481" t="s">
        <v>104</v>
      </c>
      <c r="H605" s="481" t="s">
        <v>177</v>
      </c>
    </row>
    <row r="606" spans="1:8" x14ac:dyDescent="0.2">
      <c r="A606" s="480" t="s">
        <v>319</v>
      </c>
      <c r="B606" s="479">
        <v>44896</v>
      </c>
      <c r="C606" s="481" t="s">
        <v>150</v>
      </c>
      <c r="D606" s="481">
        <v>0</v>
      </c>
      <c r="E606" s="481" t="s">
        <v>0</v>
      </c>
      <c r="F606" s="481">
        <v>0</v>
      </c>
      <c r="G606" s="481" t="s">
        <v>126</v>
      </c>
      <c r="H606" s="481" t="s">
        <v>177</v>
      </c>
    </row>
    <row r="607" spans="1:8" x14ac:dyDescent="0.2">
      <c r="A607" s="480" t="s">
        <v>312</v>
      </c>
      <c r="B607" s="479">
        <v>44896</v>
      </c>
      <c r="C607" s="481" t="s">
        <v>8</v>
      </c>
      <c r="D607" s="481">
        <v>0</v>
      </c>
      <c r="E607" s="481" t="s">
        <v>0</v>
      </c>
      <c r="F607" s="481">
        <v>2</v>
      </c>
      <c r="G607" s="481" t="s">
        <v>11</v>
      </c>
      <c r="H607" s="481" t="s">
        <v>184</v>
      </c>
    </row>
    <row r="608" spans="1:8" x14ac:dyDescent="0.2">
      <c r="A608" s="480" t="s">
        <v>313</v>
      </c>
      <c r="B608" s="479">
        <v>44896</v>
      </c>
      <c r="C608" s="481" t="s">
        <v>160</v>
      </c>
      <c r="D608" s="481">
        <v>1</v>
      </c>
      <c r="E608" s="481" t="s">
        <v>0</v>
      </c>
      <c r="F608" s="481">
        <v>5</v>
      </c>
      <c r="G608" s="481" t="s">
        <v>7</v>
      </c>
      <c r="H608" s="481" t="s">
        <v>184</v>
      </c>
    </row>
    <row r="609" spans="1:8" x14ac:dyDescent="0.2">
      <c r="A609" s="480" t="s">
        <v>318</v>
      </c>
      <c r="B609" s="479">
        <v>44896</v>
      </c>
      <c r="C609" s="481" t="s">
        <v>70</v>
      </c>
      <c r="D609" s="481">
        <v>1</v>
      </c>
      <c r="E609" s="481" t="s">
        <v>0</v>
      </c>
      <c r="F609" s="481">
        <v>3</v>
      </c>
      <c r="G609" s="481" t="s">
        <v>104</v>
      </c>
      <c r="H609" s="481" t="s">
        <v>184</v>
      </c>
    </row>
    <row r="610" spans="1:8" x14ac:dyDescent="0.2">
      <c r="A610" s="480" t="s">
        <v>319</v>
      </c>
      <c r="B610" s="479">
        <v>44896</v>
      </c>
      <c r="C610" s="481" t="s">
        <v>150</v>
      </c>
      <c r="D610" s="481">
        <v>2</v>
      </c>
      <c r="E610" s="481" t="s">
        <v>0</v>
      </c>
      <c r="F610" s="481">
        <v>0</v>
      </c>
      <c r="G610" s="481" t="s">
        <v>126</v>
      </c>
      <c r="H610" s="481" t="s">
        <v>184</v>
      </c>
    </row>
    <row r="611" spans="1:8" x14ac:dyDescent="0.2">
      <c r="A611" s="480" t="s">
        <v>312</v>
      </c>
      <c r="B611" s="479">
        <v>44896</v>
      </c>
      <c r="C611" s="481" t="s">
        <v>8</v>
      </c>
      <c r="D611" s="481">
        <v>1</v>
      </c>
      <c r="E611" s="481" t="s">
        <v>0</v>
      </c>
      <c r="F611" s="481">
        <v>1</v>
      </c>
      <c r="G611" s="481" t="s">
        <v>11</v>
      </c>
      <c r="H611" s="481" t="s">
        <v>227</v>
      </c>
    </row>
    <row r="612" spans="1:8" x14ac:dyDescent="0.2">
      <c r="A612" s="480" t="s">
        <v>313</v>
      </c>
      <c r="B612" s="479">
        <v>44896</v>
      </c>
      <c r="C612" s="481" t="s">
        <v>160</v>
      </c>
      <c r="D612" s="481">
        <v>0</v>
      </c>
      <c r="E612" s="481" t="s">
        <v>0</v>
      </c>
      <c r="F612" s="481">
        <v>2</v>
      </c>
      <c r="G612" s="481" t="s">
        <v>7</v>
      </c>
      <c r="H612" s="481" t="s">
        <v>227</v>
      </c>
    </row>
    <row r="613" spans="1:8" x14ac:dyDescent="0.2">
      <c r="A613" s="480" t="s">
        <v>318</v>
      </c>
      <c r="B613" s="479">
        <v>44896</v>
      </c>
      <c r="C613" s="481" t="s">
        <v>70</v>
      </c>
      <c r="D613" s="481">
        <v>1</v>
      </c>
      <c r="E613" s="481" t="s">
        <v>0</v>
      </c>
      <c r="F613" s="481">
        <v>1</v>
      </c>
      <c r="G613" s="481" t="s">
        <v>104</v>
      </c>
      <c r="H613" s="481" t="s">
        <v>227</v>
      </c>
    </row>
    <row r="614" spans="1:8" x14ac:dyDescent="0.2">
      <c r="A614" s="480" t="s">
        <v>319</v>
      </c>
      <c r="B614" s="479">
        <v>44896</v>
      </c>
      <c r="C614" s="481" t="s">
        <v>150</v>
      </c>
      <c r="D614" s="481">
        <v>1</v>
      </c>
      <c r="E614" s="481" t="s">
        <v>0</v>
      </c>
      <c r="F614" s="481">
        <v>2</v>
      </c>
      <c r="G614" s="481" t="s">
        <v>126</v>
      </c>
      <c r="H614" s="481" t="s">
        <v>227</v>
      </c>
    </row>
    <row r="615" spans="1:8" x14ac:dyDescent="0.2">
      <c r="A615" s="480" t="s">
        <v>312</v>
      </c>
      <c r="B615" s="479">
        <v>44896</v>
      </c>
      <c r="C615" s="481" t="s">
        <v>8</v>
      </c>
      <c r="D615" s="481">
        <v>1</v>
      </c>
      <c r="E615" s="481" t="s">
        <v>0</v>
      </c>
      <c r="F615" s="481">
        <v>2</v>
      </c>
      <c r="G615" s="481" t="s">
        <v>11</v>
      </c>
      <c r="H615" s="481" t="s">
        <v>183</v>
      </c>
    </row>
    <row r="616" spans="1:8" x14ac:dyDescent="0.2">
      <c r="A616" s="480" t="s">
        <v>313</v>
      </c>
      <c r="B616" s="479">
        <v>44896</v>
      </c>
      <c r="C616" s="481" t="s">
        <v>160</v>
      </c>
      <c r="D616" s="481">
        <v>2</v>
      </c>
      <c r="E616" s="481" t="s">
        <v>0</v>
      </c>
      <c r="F616" s="481">
        <v>3</v>
      </c>
      <c r="G616" s="481" t="s">
        <v>7</v>
      </c>
      <c r="H616" s="481" t="s">
        <v>183</v>
      </c>
    </row>
    <row r="617" spans="1:8" x14ac:dyDescent="0.2">
      <c r="A617" s="480" t="s">
        <v>318</v>
      </c>
      <c r="B617" s="479">
        <v>44896</v>
      </c>
      <c r="C617" s="481" t="s">
        <v>70</v>
      </c>
      <c r="D617" s="481">
        <v>2</v>
      </c>
      <c r="E617" s="481" t="s">
        <v>0</v>
      </c>
      <c r="F617" s="481">
        <v>1</v>
      </c>
      <c r="G617" s="481" t="s">
        <v>104</v>
      </c>
      <c r="H617" s="481" t="s">
        <v>183</v>
      </c>
    </row>
    <row r="618" spans="1:8" x14ac:dyDescent="0.2">
      <c r="A618" s="480" t="s">
        <v>319</v>
      </c>
      <c r="B618" s="479">
        <v>44896</v>
      </c>
      <c r="C618" s="481" t="s">
        <v>150</v>
      </c>
      <c r="D618" s="481">
        <v>2</v>
      </c>
      <c r="E618" s="481" t="s">
        <v>0</v>
      </c>
      <c r="F618" s="481">
        <v>1</v>
      </c>
      <c r="G618" s="481" t="s">
        <v>126</v>
      </c>
      <c r="H618" s="481" t="s">
        <v>183</v>
      </c>
    </row>
    <row r="619" spans="1:8" x14ac:dyDescent="0.2">
      <c r="A619" s="480" t="s">
        <v>312</v>
      </c>
      <c r="B619" s="479">
        <v>44896</v>
      </c>
      <c r="C619" s="481" t="s">
        <v>8</v>
      </c>
      <c r="D619" s="481">
        <v>0</v>
      </c>
      <c r="E619" s="481" t="s">
        <v>0</v>
      </c>
      <c r="F619" s="481">
        <v>2</v>
      </c>
      <c r="G619" s="481" t="s">
        <v>11</v>
      </c>
      <c r="H619" s="481" t="s">
        <v>185</v>
      </c>
    </row>
    <row r="620" spans="1:8" x14ac:dyDescent="0.2">
      <c r="A620" s="480" t="s">
        <v>313</v>
      </c>
      <c r="B620" s="479">
        <v>44896</v>
      </c>
      <c r="C620" s="481" t="s">
        <v>160</v>
      </c>
      <c r="D620" s="481">
        <v>1</v>
      </c>
      <c r="E620" s="481" t="s">
        <v>0</v>
      </c>
      <c r="F620" s="481">
        <v>2</v>
      </c>
      <c r="G620" s="481" t="s">
        <v>7</v>
      </c>
      <c r="H620" s="481" t="s">
        <v>185</v>
      </c>
    </row>
    <row r="621" spans="1:8" x14ac:dyDescent="0.2">
      <c r="A621" s="480" t="s">
        <v>318</v>
      </c>
      <c r="B621" s="479">
        <v>44896</v>
      </c>
      <c r="C621" s="481" t="s">
        <v>70</v>
      </c>
      <c r="D621" s="481">
        <v>0</v>
      </c>
      <c r="E621" s="481" t="s">
        <v>0</v>
      </c>
      <c r="F621" s="481">
        <v>1</v>
      </c>
      <c r="G621" s="481" t="s">
        <v>104</v>
      </c>
      <c r="H621" s="481" t="s">
        <v>185</v>
      </c>
    </row>
    <row r="622" spans="1:8" x14ac:dyDescent="0.2">
      <c r="A622" s="480" t="s">
        <v>319</v>
      </c>
      <c r="B622" s="479">
        <v>44896</v>
      </c>
      <c r="C622" s="481" t="s">
        <v>150</v>
      </c>
      <c r="D622" s="481">
        <v>0</v>
      </c>
      <c r="E622" s="481" t="s">
        <v>0</v>
      </c>
      <c r="F622" s="481">
        <v>1</v>
      </c>
      <c r="G622" s="481" t="s">
        <v>126</v>
      </c>
      <c r="H622" s="481" t="s">
        <v>185</v>
      </c>
    </row>
    <row r="623" spans="1:8" x14ac:dyDescent="0.2">
      <c r="A623" s="480" t="s">
        <v>312</v>
      </c>
      <c r="B623" s="479">
        <v>44896</v>
      </c>
      <c r="C623" s="481" t="s">
        <v>8</v>
      </c>
      <c r="D623" s="481">
        <v>0</v>
      </c>
      <c r="E623" s="481" t="s">
        <v>0</v>
      </c>
      <c r="F623" s="481">
        <v>2</v>
      </c>
      <c r="G623" s="481" t="s">
        <v>11</v>
      </c>
      <c r="H623" s="481" t="s">
        <v>332</v>
      </c>
    </row>
    <row r="624" spans="1:8" x14ac:dyDescent="0.2">
      <c r="A624" s="480" t="s">
        <v>313</v>
      </c>
      <c r="B624" s="479">
        <v>44896</v>
      </c>
      <c r="C624" s="481" t="s">
        <v>160</v>
      </c>
      <c r="D624" s="481">
        <v>0</v>
      </c>
      <c r="E624" s="481" t="s">
        <v>0</v>
      </c>
      <c r="F624" s="481">
        <v>2</v>
      </c>
      <c r="G624" s="481" t="s">
        <v>7</v>
      </c>
      <c r="H624" s="481" t="s">
        <v>332</v>
      </c>
    </row>
    <row r="625" spans="1:8" x14ac:dyDescent="0.2">
      <c r="A625" s="480" t="s">
        <v>318</v>
      </c>
      <c r="B625" s="479">
        <v>44896</v>
      </c>
      <c r="C625" s="481" t="s">
        <v>70</v>
      </c>
      <c r="D625" s="481">
        <v>1</v>
      </c>
      <c r="E625" s="481" t="s">
        <v>0</v>
      </c>
      <c r="F625" s="481">
        <v>2</v>
      </c>
      <c r="G625" s="481" t="s">
        <v>104</v>
      </c>
      <c r="H625" s="481" t="s">
        <v>332</v>
      </c>
    </row>
    <row r="626" spans="1:8" x14ac:dyDescent="0.2">
      <c r="A626" s="480" t="s">
        <v>319</v>
      </c>
      <c r="B626" s="479">
        <v>44896</v>
      </c>
      <c r="C626" s="481" t="s">
        <v>150</v>
      </c>
      <c r="D626" s="481">
        <v>2</v>
      </c>
      <c r="E626" s="481" t="s">
        <v>0</v>
      </c>
      <c r="F626" s="481">
        <v>1</v>
      </c>
      <c r="G626" s="481" t="s">
        <v>126</v>
      </c>
      <c r="H626" s="481" t="s">
        <v>332</v>
      </c>
    </row>
    <row r="627" spans="1:8" x14ac:dyDescent="0.2">
      <c r="A627" s="480" t="s">
        <v>312</v>
      </c>
      <c r="B627" s="479">
        <v>44896</v>
      </c>
      <c r="C627" s="483" t="s">
        <v>8</v>
      </c>
      <c r="D627" s="483">
        <v>0</v>
      </c>
      <c r="E627" s="483" t="s">
        <v>0</v>
      </c>
      <c r="F627" s="483">
        <v>1</v>
      </c>
      <c r="G627" s="483" t="s">
        <v>11</v>
      </c>
      <c r="H627" s="481" t="s">
        <v>182</v>
      </c>
    </row>
    <row r="628" spans="1:8" x14ac:dyDescent="0.2">
      <c r="A628" s="480" t="s">
        <v>313</v>
      </c>
      <c r="B628" s="479">
        <v>44896</v>
      </c>
      <c r="C628" s="483" t="s">
        <v>160</v>
      </c>
      <c r="D628" s="483">
        <v>0</v>
      </c>
      <c r="E628" s="483" t="s">
        <v>0</v>
      </c>
      <c r="F628" s="483">
        <v>2</v>
      </c>
      <c r="G628" s="483" t="s">
        <v>7</v>
      </c>
      <c r="H628" s="481" t="s">
        <v>182</v>
      </c>
    </row>
    <row r="629" spans="1:8" x14ac:dyDescent="0.2">
      <c r="A629" s="480" t="s">
        <v>318</v>
      </c>
      <c r="B629" s="479">
        <v>44896</v>
      </c>
      <c r="C629" s="483" t="s">
        <v>70</v>
      </c>
      <c r="D629" s="483">
        <v>0</v>
      </c>
      <c r="E629" s="483" t="s">
        <v>0</v>
      </c>
      <c r="F629" s="483">
        <v>1</v>
      </c>
      <c r="G629" s="483" t="s">
        <v>104</v>
      </c>
      <c r="H629" s="481" t="s">
        <v>182</v>
      </c>
    </row>
    <row r="630" spans="1:8" x14ac:dyDescent="0.2">
      <c r="A630" s="480" t="s">
        <v>319</v>
      </c>
      <c r="B630" s="479">
        <v>44896</v>
      </c>
      <c r="C630" s="483" t="s">
        <v>150</v>
      </c>
      <c r="D630" s="483">
        <v>2</v>
      </c>
      <c r="E630" s="483" t="s">
        <v>0</v>
      </c>
      <c r="F630" s="483">
        <v>0</v>
      </c>
      <c r="G630" s="483" t="s">
        <v>126</v>
      </c>
      <c r="H630" s="481" t="s">
        <v>182</v>
      </c>
    </row>
    <row r="631" spans="1:8" x14ac:dyDescent="0.2">
      <c r="A631" s="480" t="s">
        <v>324</v>
      </c>
      <c r="B631" s="479">
        <v>44897</v>
      </c>
      <c r="C631" s="481" t="s">
        <v>151</v>
      </c>
      <c r="D631" s="481">
        <v>0</v>
      </c>
      <c r="E631" s="481" t="s">
        <v>0</v>
      </c>
      <c r="F631" s="481">
        <v>4</v>
      </c>
      <c r="G631" s="481" t="s">
        <v>10</v>
      </c>
      <c r="H631" s="481" t="s">
        <v>176</v>
      </c>
    </row>
    <row r="632" spans="1:8" x14ac:dyDescent="0.2">
      <c r="A632" s="480" t="s">
        <v>325</v>
      </c>
      <c r="B632" s="479">
        <v>44897</v>
      </c>
      <c r="C632" s="481" t="s">
        <v>128</v>
      </c>
      <c r="D632" s="481">
        <v>2</v>
      </c>
      <c r="E632" s="481" t="s">
        <v>0</v>
      </c>
      <c r="F632" s="481">
        <v>2</v>
      </c>
      <c r="G632" s="481" t="s">
        <v>12</v>
      </c>
      <c r="H632" s="481" t="s">
        <v>176</v>
      </c>
    </row>
    <row r="633" spans="1:8" x14ac:dyDescent="0.2">
      <c r="A633" s="480" t="s">
        <v>330</v>
      </c>
      <c r="B633" s="479">
        <v>44897</v>
      </c>
      <c r="C633" s="481" t="s">
        <v>5</v>
      </c>
      <c r="D633" s="481">
        <v>1</v>
      </c>
      <c r="E633" s="481" t="s">
        <v>0</v>
      </c>
      <c r="F633" s="481">
        <v>2</v>
      </c>
      <c r="G633" s="481" t="s">
        <v>9</v>
      </c>
      <c r="H633" s="481" t="s">
        <v>176</v>
      </c>
    </row>
    <row r="634" spans="1:8" x14ac:dyDescent="0.2">
      <c r="A634" s="480" t="s">
        <v>331</v>
      </c>
      <c r="B634" s="479">
        <v>44897</v>
      </c>
      <c r="C634" s="481" t="s">
        <v>152</v>
      </c>
      <c r="D634" s="481">
        <v>0</v>
      </c>
      <c r="E634" s="481" t="s">
        <v>0</v>
      </c>
      <c r="F634" s="481">
        <v>2</v>
      </c>
      <c r="G634" s="481" t="s">
        <v>2</v>
      </c>
      <c r="H634" s="481" t="s">
        <v>176</v>
      </c>
    </row>
    <row r="635" spans="1:8" x14ac:dyDescent="0.2">
      <c r="A635" s="480" t="s">
        <v>324</v>
      </c>
      <c r="B635" s="479">
        <v>44897</v>
      </c>
      <c r="C635" s="481" t="s">
        <v>151</v>
      </c>
      <c r="D635" s="481">
        <v>1</v>
      </c>
      <c r="E635" s="481" t="s">
        <v>0</v>
      </c>
      <c r="F635" s="481">
        <v>3</v>
      </c>
      <c r="G635" s="481" t="s">
        <v>10</v>
      </c>
      <c r="H635" s="481" t="s">
        <v>226</v>
      </c>
    </row>
    <row r="636" spans="1:8" x14ac:dyDescent="0.2">
      <c r="A636" s="480" t="s">
        <v>325</v>
      </c>
      <c r="B636" s="479">
        <v>44897</v>
      </c>
      <c r="C636" s="481" t="s">
        <v>128</v>
      </c>
      <c r="D636" s="481">
        <v>0</v>
      </c>
      <c r="E636" s="481" t="s">
        <v>0</v>
      </c>
      <c r="F636" s="481">
        <v>1</v>
      </c>
      <c r="G636" s="481" t="s">
        <v>12</v>
      </c>
      <c r="H636" s="481" t="s">
        <v>226</v>
      </c>
    </row>
    <row r="637" spans="1:8" x14ac:dyDescent="0.2">
      <c r="A637" s="480" t="s">
        <v>330</v>
      </c>
      <c r="B637" s="479">
        <v>44897</v>
      </c>
      <c r="C637" s="481" t="s">
        <v>5</v>
      </c>
      <c r="D637" s="481">
        <v>1</v>
      </c>
      <c r="E637" s="481" t="s">
        <v>0</v>
      </c>
      <c r="F637" s="481">
        <v>3</v>
      </c>
      <c r="G637" s="481" t="s">
        <v>9</v>
      </c>
      <c r="H637" s="481" t="s">
        <v>226</v>
      </c>
    </row>
    <row r="638" spans="1:8" x14ac:dyDescent="0.2">
      <c r="A638" s="480" t="s">
        <v>331</v>
      </c>
      <c r="B638" s="479">
        <v>44897</v>
      </c>
      <c r="C638" s="481" t="s">
        <v>152</v>
      </c>
      <c r="D638" s="481">
        <v>0</v>
      </c>
      <c r="E638" s="481" t="s">
        <v>0</v>
      </c>
      <c r="F638" s="481">
        <v>2</v>
      </c>
      <c r="G638" s="481" t="s">
        <v>2</v>
      </c>
      <c r="H638" s="481" t="s">
        <v>226</v>
      </c>
    </row>
    <row r="639" spans="1:8" x14ac:dyDescent="0.2">
      <c r="A639" s="480" t="s">
        <v>324</v>
      </c>
      <c r="B639" s="479">
        <v>44897</v>
      </c>
      <c r="C639" s="481" t="s">
        <v>151</v>
      </c>
      <c r="D639" s="481">
        <v>0</v>
      </c>
      <c r="E639" s="481" t="s">
        <v>0</v>
      </c>
      <c r="F639" s="481">
        <v>2</v>
      </c>
      <c r="G639" s="481" t="s">
        <v>10</v>
      </c>
      <c r="H639" s="481" t="s">
        <v>228</v>
      </c>
    </row>
    <row r="640" spans="1:8" x14ac:dyDescent="0.2">
      <c r="A640" s="480" t="s">
        <v>325</v>
      </c>
      <c r="B640" s="479">
        <v>44897</v>
      </c>
      <c r="C640" s="481" t="s">
        <v>128</v>
      </c>
      <c r="D640" s="481">
        <v>1</v>
      </c>
      <c r="E640" s="481" t="s">
        <v>0</v>
      </c>
      <c r="F640" s="481">
        <v>2</v>
      </c>
      <c r="G640" s="481" t="s">
        <v>12</v>
      </c>
      <c r="H640" s="481" t="s">
        <v>228</v>
      </c>
    </row>
    <row r="641" spans="1:8" x14ac:dyDescent="0.2">
      <c r="A641" s="480" t="s">
        <v>330</v>
      </c>
      <c r="B641" s="479">
        <v>44897</v>
      </c>
      <c r="C641" s="481" t="s">
        <v>5</v>
      </c>
      <c r="D641" s="481">
        <v>0</v>
      </c>
      <c r="E641" s="481" t="s">
        <v>0</v>
      </c>
      <c r="F641" s="481">
        <v>2</v>
      </c>
      <c r="G641" s="481" t="s">
        <v>9</v>
      </c>
      <c r="H641" s="481" t="s">
        <v>228</v>
      </c>
    </row>
    <row r="642" spans="1:8" x14ac:dyDescent="0.2">
      <c r="A642" s="480" t="s">
        <v>331</v>
      </c>
      <c r="B642" s="479">
        <v>44897</v>
      </c>
      <c r="C642" s="481" t="s">
        <v>152</v>
      </c>
      <c r="D642" s="481">
        <v>0</v>
      </c>
      <c r="E642" s="481" t="s">
        <v>0</v>
      </c>
      <c r="F642" s="481">
        <v>2</v>
      </c>
      <c r="G642" s="481" t="s">
        <v>2</v>
      </c>
      <c r="H642" s="481" t="s">
        <v>228</v>
      </c>
    </row>
    <row r="643" spans="1:8" x14ac:dyDescent="0.2">
      <c r="A643" s="480" t="s">
        <v>324</v>
      </c>
      <c r="B643" s="479">
        <v>44897</v>
      </c>
      <c r="C643" s="481" t="s">
        <v>151</v>
      </c>
      <c r="D643" s="481">
        <v>1</v>
      </c>
      <c r="E643" s="481" t="s">
        <v>0</v>
      </c>
      <c r="F643" s="481">
        <v>2</v>
      </c>
      <c r="G643" s="481" t="s">
        <v>10</v>
      </c>
      <c r="H643" s="481" t="s">
        <v>179</v>
      </c>
    </row>
    <row r="644" spans="1:8" x14ac:dyDescent="0.2">
      <c r="A644" s="480" t="s">
        <v>325</v>
      </c>
      <c r="B644" s="479">
        <v>44897</v>
      </c>
      <c r="C644" s="481" t="s">
        <v>128</v>
      </c>
      <c r="D644" s="481">
        <v>1</v>
      </c>
      <c r="E644" s="481" t="s">
        <v>0</v>
      </c>
      <c r="F644" s="481">
        <v>1</v>
      </c>
      <c r="G644" s="481" t="s">
        <v>12</v>
      </c>
      <c r="H644" s="481" t="s">
        <v>179</v>
      </c>
    </row>
    <row r="645" spans="1:8" x14ac:dyDescent="0.2">
      <c r="A645" s="480" t="s">
        <v>330</v>
      </c>
      <c r="B645" s="479">
        <v>44897</v>
      </c>
      <c r="C645" s="481" t="s">
        <v>5</v>
      </c>
      <c r="D645" s="481">
        <v>1</v>
      </c>
      <c r="E645" s="481" t="s">
        <v>0</v>
      </c>
      <c r="F645" s="481">
        <v>2</v>
      </c>
      <c r="G645" s="481" t="s">
        <v>9</v>
      </c>
      <c r="H645" s="481" t="s">
        <v>179</v>
      </c>
    </row>
    <row r="646" spans="1:8" x14ac:dyDescent="0.2">
      <c r="A646" s="480" t="s">
        <v>331</v>
      </c>
      <c r="B646" s="479">
        <v>44897</v>
      </c>
      <c r="C646" s="481" t="s">
        <v>152</v>
      </c>
      <c r="D646" s="481">
        <v>0</v>
      </c>
      <c r="E646" s="481" t="s">
        <v>0</v>
      </c>
      <c r="F646" s="481">
        <v>2</v>
      </c>
      <c r="G646" s="481" t="s">
        <v>2</v>
      </c>
      <c r="H646" s="481" t="s">
        <v>179</v>
      </c>
    </row>
    <row r="647" spans="1:8" x14ac:dyDescent="0.2">
      <c r="A647" s="480" t="s">
        <v>324</v>
      </c>
      <c r="B647" s="479">
        <v>44897</v>
      </c>
      <c r="C647" s="481" t="s">
        <v>151</v>
      </c>
      <c r="D647" s="481">
        <v>1</v>
      </c>
      <c r="E647" s="481" t="s">
        <v>0</v>
      </c>
      <c r="F647" s="481">
        <v>2</v>
      </c>
      <c r="G647" s="481" t="s">
        <v>10</v>
      </c>
      <c r="H647" s="481" t="s">
        <v>223</v>
      </c>
    </row>
    <row r="648" spans="1:8" x14ac:dyDescent="0.2">
      <c r="A648" s="480" t="s">
        <v>325</v>
      </c>
      <c r="B648" s="479">
        <v>44897</v>
      </c>
      <c r="C648" s="481" t="s">
        <v>128</v>
      </c>
      <c r="D648" s="481">
        <v>1</v>
      </c>
      <c r="E648" s="481" t="s">
        <v>0</v>
      </c>
      <c r="F648" s="481">
        <v>3</v>
      </c>
      <c r="G648" s="481" t="s">
        <v>12</v>
      </c>
      <c r="H648" s="481" t="s">
        <v>223</v>
      </c>
    </row>
    <row r="649" spans="1:8" x14ac:dyDescent="0.2">
      <c r="A649" s="480" t="s">
        <v>330</v>
      </c>
      <c r="B649" s="479">
        <v>44897</v>
      </c>
      <c r="C649" s="481" t="s">
        <v>5</v>
      </c>
      <c r="D649" s="481">
        <v>1</v>
      </c>
      <c r="E649" s="481" t="s">
        <v>0</v>
      </c>
      <c r="F649" s="481">
        <v>3</v>
      </c>
      <c r="G649" s="481" t="s">
        <v>9</v>
      </c>
      <c r="H649" s="481" t="s">
        <v>223</v>
      </c>
    </row>
    <row r="650" spans="1:8" x14ac:dyDescent="0.2">
      <c r="A650" s="480" t="s">
        <v>331</v>
      </c>
      <c r="B650" s="479">
        <v>44897</v>
      </c>
      <c r="C650" s="481" t="s">
        <v>152</v>
      </c>
      <c r="D650" s="481">
        <v>2</v>
      </c>
      <c r="E650" s="481" t="s">
        <v>0</v>
      </c>
      <c r="F650" s="481">
        <v>3</v>
      </c>
      <c r="G650" s="481" t="s">
        <v>2</v>
      </c>
      <c r="H650" s="481" t="s">
        <v>223</v>
      </c>
    </row>
    <row r="651" spans="1:8" x14ac:dyDescent="0.2">
      <c r="A651" s="480" t="s">
        <v>324</v>
      </c>
      <c r="B651" s="479">
        <v>44897</v>
      </c>
      <c r="C651" s="481" t="s">
        <v>151</v>
      </c>
      <c r="D651" s="481">
        <v>0</v>
      </c>
      <c r="E651" s="481" t="s">
        <v>0</v>
      </c>
      <c r="F651" s="481">
        <v>3</v>
      </c>
      <c r="G651" s="481" t="s">
        <v>10</v>
      </c>
      <c r="H651" s="481" t="s">
        <v>186</v>
      </c>
    </row>
    <row r="652" spans="1:8" x14ac:dyDescent="0.2">
      <c r="A652" s="480" t="s">
        <v>325</v>
      </c>
      <c r="B652" s="479">
        <v>44897</v>
      </c>
      <c r="C652" s="481" t="s">
        <v>128</v>
      </c>
      <c r="D652" s="481">
        <v>2</v>
      </c>
      <c r="E652" s="481" t="s">
        <v>0</v>
      </c>
      <c r="F652" s="481">
        <v>1</v>
      </c>
      <c r="G652" s="481" t="s">
        <v>12</v>
      </c>
      <c r="H652" s="481" t="s">
        <v>186</v>
      </c>
    </row>
    <row r="653" spans="1:8" x14ac:dyDescent="0.2">
      <c r="A653" s="480" t="s">
        <v>330</v>
      </c>
      <c r="B653" s="479">
        <v>44897</v>
      </c>
      <c r="C653" s="481" t="s">
        <v>5</v>
      </c>
      <c r="D653" s="481">
        <v>0</v>
      </c>
      <c r="E653" s="481" t="s">
        <v>0</v>
      </c>
      <c r="F653" s="481">
        <v>1</v>
      </c>
      <c r="G653" s="481" t="s">
        <v>9</v>
      </c>
      <c r="H653" s="481" t="s">
        <v>186</v>
      </c>
    </row>
    <row r="654" spans="1:8" x14ac:dyDescent="0.2">
      <c r="A654" s="480" t="s">
        <v>331</v>
      </c>
      <c r="B654" s="479">
        <v>44897</v>
      </c>
      <c r="C654" s="481" t="s">
        <v>152</v>
      </c>
      <c r="D654" s="481">
        <v>0</v>
      </c>
      <c r="E654" s="481" t="s">
        <v>0</v>
      </c>
      <c r="F654" s="481">
        <v>1</v>
      </c>
      <c r="G654" s="481" t="s">
        <v>2</v>
      </c>
      <c r="H654" s="481" t="s">
        <v>186</v>
      </c>
    </row>
    <row r="655" spans="1:8" x14ac:dyDescent="0.2">
      <c r="A655" s="480" t="s">
        <v>324</v>
      </c>
      <c r="B655" s="479">
        <v>44897</v>
      </c>
      <c r="C655" s="481" t="s">
        <v>151</v>
      </c>
      <c r="D655" s="481">
        <v>0</v>
      </c>
      <c r="E655" s="481" t="s">
        <v>0</v>
      </c>
      <c r="F655" s="481">
        <v>3</v>
      </c>
      <c r="G655" s="481" t="s">
        <v>10</v>
      </c>
      <c r="H655" s="481" t="s">
        <v>180</v>
      </c>
    </row>
    <row r="656" spans="1:8" x14ac:dyDescent="0.2">
      <c r="A656" s="480" t="s">
        <v>325</v>
      </c>
      <c r="B656" s="479">
        <v>44897</v>
      </c>
      <c r="C656" s="481" t="s">
        <v>128</v>
      </c>
      <c r="D656" s="481">
        <v>2</v>
      </c>
      <c r="E656" s="481" t="s">
        <v>0</v>
      </c>
      <c r="F656" s="481">
        <v>1</v>
      </c>
      <c r="G656" s="481" t="s">
        <v>12</v>
      </c>
      <c r="H656" s="481" t="s">
        <v>180</v>
      </c>
    </row>
    <row r="657" spans="1:8" x14ac:dyDescent="0.2">
      <c r="A657" s="480" t="s">
        <v>330</v>
      </c>
      <c r="B657" s="479">
        <v>44897</v>
      </c>
      <c r="C657" s="481" t="s">
        <v>5</v>
      </c>
      <c r="D657" s="481">
        <v>0</v>
      </c>
      <c r="E657" s="481" t="s">
        <v>0</v>
      </c>
      <c r="F657" s="481">
        <v>2</v>
      </c>
      <c r="G657" s="481" t="s">
        <v>9</v>
      </c>
      <c r="H657" s="481" t="s">
        <v>180</v>
      </c>
    </row>
    <row r="658" spans="1:8" x14ac:dyDescent="0.2">
      <c r="A658" s="480" t="s">
        <v>331</v>
      </c>
      <c r="B658" s="479">
        <v>44897</v>
      </c>
      <c r="C658" s="481" t="s">
        <v>152</v>
      </c>
      <c r="D658" s="481">
        <v>0</v>
      </c>
      <c r="E658" s="481" t="s">
        <v>0</v>
      </c>
      <c r="F658" s="481">
        <v>2</v>
      </c>
      <c r="G658" s="481" t="s">
        <v>2</v>
      </c>
      <c r="H658" s="481" t="s">
        <v>180</v>
      </c>
    </row>
    <row r="659" spans="1:8" x14ac:dyDescent="0.2">
      <c r="A659" s="480" t="s">
        <v>324</v>
      </c>
      <c r="B659" s="479">
        <v>44897</v>
      </c>
      <c r="C659" s="481" t="s">
        <v>151</v>
      </c>
      <c r="D659" s="481">
        <v>0</v>
      </c>
      <c r="E659" s="481" t="s">
        <v>0</v>
      </c>
      <c r="F659" s="481">
        <v>2</v>
      </c>
      <c r="G659" s="481" t="s">
        <v>10</v>
      </c>
      <c r="H659" s="481" t="s">
        <v>225</v>
      </c>
    </row>
    <row r="660" spans="1:8" x14ac:dyDescent="0.2">
      <c r="A660" s="480" t="s">
        <v>325</v>
      </c>
      <c r="B660" s="479">
        <v>44897</v>
      </c>
      <c r="C660" s="481" t="s">
        <v>128</v>
      </c>
      <c r="D660" s="481">
        <v>1</v>
      </c>
      <c r="E660" s="481" t="s">
        <v>0</v>
      </c>
      <c r="F660" s="481">
        <v>1</v>
      </c>
      <c r="G660" s="481" t="s">
        <v>12</v>
      </c>
      <c r="H660" s="481" t="s">
        <v>225</v>
      </c>
    </row>
    <row r="661" spans="1:8" x14ac:dyDescent="0.2">
      <c r="A661" s="480" t="s">
        <v>330</v>
      </c>
      <c r="B661" s="479">
        <v>44897</v>
      </c>
      <c r="C661" s="481" t="s">
        <v>5</v>
      </c>
      <c r="D661" s="481">
        <v>0</v>
      </c>
      <c r="E661" s="481" t="s">
        <v>0</v>
      </c>
      <c r="F661" s="481">
        <v>2</v>
      </c>
      <c r="G661" s="481" t="s">
        <v>9</v>
      </c>
      <c r="H661" s="481" t="s">
        <v>225</v>
      </c>
    </row>
    <row r="662" spans="1:8" x14ac:dyDescent="0.2">
      <c r="A662" s="480" t="s">
        <v>331</v>
      </c>
      <c r="B662" s="479">
        <v>44897</v>
      </c>
      <c r="C662" s="481" t="s">
        <v>152</v>
      </c>
      <c r="D662" s="481">
        <v>1</v>
      </c>
      <c r="E662" s="481" t="s">
        <v>0</v>
      </c>
      <c r="F662" s="481">
        <v>2</v>
      </c>
      <c r="G662" s="481" t="s">
        <v>2</v>
      </c>
      <c r="H662" s="481" t="s">
        <v>225</v>
      </c>
    </row>
    <row r="663" spans="1:8" x14ac:dyDescent="0.2">
      <c r="A663" s="480" t="s">
        <v>324</v>
      </c>
      <c r="B663" s="479">
        <v>44897</v>
      </c>
      <c r="C663" s="481" t="s">
        <v>151</v>
      </c>
      <c r="D663" s="481">
        <v>1</v>
      </c>
      <c r="E663" s="481" t="s">
        <v>0</v>
      </c>
      <c r="F663" s="481">
        <v>3</v>
      </c>
      <c r="G663" s="481" t="s">
        <v>10</v>
      </c>
      <c r="H663" s="481" t="s">
        <v>224</v>
      </c>
    </row>
    <row r="664" spans="1:8" x14ac:dyDescent="0.2">
      <c r="A664" s="480" t="s">
        <v>325</v>
      </c>
      <c r="B664" s="479">
        <v>44897</v>
      </c>
      <c r="C664" s="481" t="s">
        <v>128</v>
      </c>
      <c r="D664" s="481">
        <v>1</v>
      </c>
      <c r="E664" s="481" t="s">
        <v>0</v>
      </c>
      <c r="F664" s="481">
        <v>2</v>
      </c>
      <c r="G664" s="481" t="s">
        <v>12</v>
      </c>
      <c r="H664" s="481" t="s">
        <v>224</v>
      </c>
    </row>
    <row r="665" spans="1:8" x14ac:dyDescent="0.2">
      <c r="A665" s="480" t="s">
        <v>330</v>
      </c>
      <c r="B665" s="479">
        <v>44897</v>
      </c>
      <c r="C665" s="481" t="s">
        <v>5</v>
      </c>
      <c r="D665" s="481">
        <v>0</v>
      </c>
      <c r="E665" s="481" t="s">
        <v>0</v>
      </c>
      <c r="F665" s="481">
        <v>2</v>
      </c>
      <c r="G665" s="481" t="s">
        <v>9</v>
      </c>
      <c r="H665" s="481" t="s">
        <v>224</v>
      </c>
    </row>
    <row r="666" spans="1:8" x14ac:dyDescent="0.2">
      <c r="A666" s="480" t="s">
        <v>331</v>
      </c>
      <c r="B666" s="479">
        <v>44897</v>
      </c>
      <c r="C666" s="481" t="s">
        <v>152</v>
      </c>
      <c r="D666" s="481">
        <v>1</v>
      </c>
      <c r="E666" s="481" t="s">
        <v>0</v>
      </c>
      <c r="F666" s="481">
        <v>2</v>
      </c>
      <c r="G666" s="481" t="s">
        <v>2</v>
      </c>
      <c r="H666" s="481" t="s">
        <v>224</v>
      </c>
    </row>
    <row r="667" spans="1:8" x14ac:dyDescent="0.2">
      <c r="A667" s="480" t="s">
        <v>324</v>
      </c>
      <c r="B667" s="479">
        <v>44897</v>
      </c>
      <c r="C667" s="481" t="s">
        <v>151</v>
      </c>
      <c r="D667" s="481">
        <v>0</v>
      </c>
      <c r="E667" s="481" t="s">
        <v>0</v>
      </c>
      <c r="F667" s="481">
        <v>3</v>
      </c>
      <c r="G667" s="481" t="s">
        <v>10</v>
      </c>
      <c r="H667" s="481" t="s">
        <v>181</v>
      </c>
    </row>
    <row r="668" spans="1:8" x14ac:dyDescent="0.2">
      <c r="A668" s="480" t="s">
        <v>325</v>
      </c>
      <c r="B668" s="479">
        <v>44897</v>
      </c>
      <c r="C668" s="481" t="s">
        <v>128</v>
      </c>
      <c r="D668" s="481">
        <v>0</v>
      </c>
      <c r="E668" s="481" t="s">
        <v>0</v>
      </c>
      <c r="F668" s="481">
        <v>1</v>
      </c>
      <c r="G668" s="481" t="s">
        <v>12</v>
      </c>
      <c r="H668" s="481" t="s">
        <v>181</v>
      </c>
    </row>
    <row r="669" spans="1:8" x14ac:dyDescent="0.2">
      <c r="A669" s="480" t="s">
        <v>330</v>
      </c>
      <c r="B669" s="479">
        <v>44897</v>
      </c>
      <c r="C669" s="481" t="s">
        <v>5</v>
      </c>
      <c r="D669" s="481">
        <v>0</v>
      </c>
      <c r="E669" s="481" t="s">
        <v>0</v>
      </c>
      <c r="F669" s="481">
        <v>2</v>
      </c>
      <c r="G669" s="481" t="s">
        <v>9</v>
      </c>
      <c r="H669" s="481" t="s">
        <v>181</v>
      </c>
    </row>
    <row r="670" spans="1:8" x14ac:dyDescent="0.2">
      <c r="A670" s="480" t="s">
        <v>331</v>
      </c>
      <c r="B670" s="479">
        <v>44897</v>
      </c>
      <c r="C670" s="481" t="s">
        <v>152</v>
      </c>
      <c r="D670" s="481">
        <v>0</v>
      </c>
      <c r="E670" s="481" t="s">
        <v>0</v>
      </c>
      <c r="F670" s="481">
        <v>1</v>
      </c>
      <c r="G670" s="481" t="s">
        <v>2</v>
      </c>
      <c r="H670" s="481" t="s">
        <v>181</v>
      </c>
    </row>
    <row r="671" spans="1:8" x14ac:dyDescent="0.2">
      <c r="A671" s="480" t="s">
        <v>324</v>
      </c>
      <c r="B671" s="479">
        <v>44897</v>
      </c>
      <c r="C671" s="481" t="s">
        <v>151</v>
      </c>
      <c r="D671" s="481">
        <v>1</v>
      </c>
      <c r="E671" s="481" t="s">
        <v>0</v>
      </c>
      <c r="F671" s="481">
        <v>3</v>
      </c>
      <c r="G671" s="481" t="s">
        <v>10</v>
      </c>
      <c r="H671" s="481" t="s">
        <v>177</v>
      </c>
    </row>
    <row r="672" spans="1:8" x14ac:dyDescent="0.2">
      <c r="A672" s="480" t="s">
        <v>325</v>
      </c>
      <c r="B672" s="479">
        <v>44897</v>
      </c>
      <c r="C672" s="481" t="s">
        <v>128</v>
      </c>
      <c r="D672" s="481">
        <v>1</v>
      </c>
      <c r="E672" s="481" t="s">
        <v>0</v>
      </c>
      <c r="F672" s="481">
        <v>1</v>
      </c>
      <c r="G672" s="481" t="s">
        <v>12</v>
      </c>
      <c r="H672" s="481" t="s">
        <v>177</v>
      </c>
    </row>
    <row r="673" spans="1:8" x14ac:dyDescent="0.2">
      <c r="A673" s="480" t="s">
        <v>330</v>
      </c>
      <c r="B673" s="479">
        <v>44897</v>
      </c>
      <c r="C673" s="481" t="s">
        <v>5</v>
      </c>
      <c r="D673" s="481">
        <v>1</v>
      </c>
      <c r="E673" s="481" t="s">
        <v>0</v>
      </c>
      <c r="F673" s="481">
        <v>2</v>
      </c>
      <c r="G673" s="481" t="s">
        <v>9</v>
      </c>
      <c r="H673" s="481" t="s">
        <v>177</v>
      </c>
    </row>
    <row r="674" spans="1:8" x14ac:dyDescent="0.2">
      <c r="A674" s="480" t="s">
        <v>331</v>
      </c>
      <c r="B674" s="479">
        <v>44897</v>
      </c>
      <c r="C674" s="481" t="s">
        <v>152</v>
      </c>
      <c r="D674" s="481">
        <v>0</v>
      </c>
      <c r="E674" s="481" t="s">
        <v>0</v>
      </c>
      <c r="F674" s="481">
        <v>2</v>
      </c>
      <c r="G674" s="481" t="s">
        <v>2</v>
      </c>
      <c r="H674" s="481" t="s">
        <v>177</v>
      </c>
    </row>
    <row r="675" spans="1:8" x14ac:dyDescent="0.2">
      <c r="A675" s="480" t="s">
        <v>324</v>
      </c>
      <c r="B675" s="479">
        <v>44897</v>
      </c>
      <c r="C675" s="481" t="s">
        <v>151</v>
      </c>
      <c r="D675" s="481">
        <v>1</v>
      </c>
      <c r="E675" s="481" t="s">
        <v>0</v>
      </c>
      <c r="F675" s="481">
        <v>3</v>
      </c>
      <c r="G675" s="481" t="s">
        <v>10</v>
      </c>
      <c r="H675" s="481" t="s">
        <v>184</v>
      </c>
    </row>
    <row r="676" spans="1:8" x14ac:dyDescent="0.2">
      <c r="A676" s="480" t="s">
        <v>325</v>
      </c>
      <c r="B676" s="479">
        <v>44897</v>
      </c>
      <c r="C676" s="481" t="s">
        <v>128</v>
      </c>
      <c r="D676" s="481">
        <v>2</v>
      </c>
      <c r="E676" s="481" t="s">
        <v>0</v>
      </c>
      <c r="F676" s="481">
        <v>1</v>
      </c>
      <c r="G676" s="481" t="s">
        <v>12</v>
      </c>
      <c r="H676" s="481" t="s">
        <v>184</v>
      </c>
    </row>
    <row r="677" spans="1:8" x14ac:dyDescent="0.2">
      <c r="A677" s="480" t="s">
        <v>330</v>
      </c>
      <c r="B677" s="479">
        <v>44897</v>
      </c>
      <c r="C677" s="481" t="s">
        <v>5</v>
      </c>
      <c r="D677" s="481">
        <v>1</v>
      </c>
      <c r="E677" s="481" t="s">
        <v>0</v>
      </c>
      <c r="F677" s="481">
        <v>3</v>
      </c>
      <c r="G677" s="481" t="s">
        <v>9</v>
      </c>
      <c r="H677" s="481" t="s">
        <v>184</v>
      </c>
    </row>
    <row r="678" spans="1:8" x14ac:dyDescent="0.2">
      <c r="A678" s="480" t="s">
        <v>331</v>
      </c>
      <c r="B678" s="479">
        <v>44897</v>
      </c>
      <c r="C678" s="481" t="s">
        <v>152</v>
      </c>
      <c r="D678" s="481">
        <v>0</v>
      </c>
      <c r="E678" s="481" t="s">
        <v>0</v>
      </c>
      <c r="F678" s="481">
        <v>2</v>
      </c>
      <c r="G678" s="481" t="s">
        <v>2</v>
      </c>
      <c r="H678" s="481" t="s">
        <v>184</v>
      </c>
    </row>
    <row r="679" spans="1:8" x14ac:dyDescent="0.2">
      <c r="A679" s="480" t="s">
        <v>324</v>
      </c>
      <c r="B679" s="479">
        <v>44897</v>
      </c>
      <c r="C679" s="481" t="s">
        <v>151</v>
      </c>
      <c r="D679" s="481">
        <v>1</v>
      </c>
      <c r="E679" s="481" t="s">
        <v>0</v>
      </c>
      <c r="F679" s="481">
        <v>3</v>
      </c>
      <c r="G679" s="481" t="s">
        <v>10</v>
      </c>
      <c r="H679" s="481" t="s">
        <v>227</v>
      </c>
    </row>
    <row r="680" spans="1:8" x14ac:dyDescent="0.2">
      <c r="A680" s="480" t="s">
        <v>325</v>
      </c>
      <c r="B680" s="479">
        <v>44897</v>
      </c>
      <c r="C680" s="481" t="s">
        <v>128</v>
      </c>
      <c r="D680" s="481">
        <v>1</v>
      </c>
      <c r="E680" s="481" t="s">
        <v>0</v>
      </c>
      <c r="F680" s="481">
        <v>1</v>
      </c>
      <c r="G680" s="481" t="s">
        <v>12</v>
      </c>
      <c r="H680" s="481" t="s">
        <v>227</v>
      </c>
    </row>
    <row r="681" spans="1:8" x14ac:dyDescent="0.2">
      <c r="A681" s="480" t="s">
        <v>330</v>
      </c>
      <c r="B681" s="479">
        <v>44897</v>
      </c>
      <c r="C681" s="481" t="s">
        <v>5</v>
      </c>
      <c r="D681" s="481">
        <v>0</v>
      </c>
      <c r="E681" s="481" t="s">
        <v>0</v>
      </c>
      <c r="F681" s="481">
        <v>2</v>
      </c>
      <c r="G681" s="481" t="s">
        <v>9</v>
      </c>
      <c r="H681" s="481" t="s">
        <v>227</v>
      </c>
    </row>
    <row r="682" spans="1:8" x14ac:dyDescent="0.2">
      <c r="A682" s="480" t="s">
        <v>331</v>
      </c>
      <c r="B682" s="479">
        <v>44897</v>
      </c>
      <c r="C682" s="481" t="s">
        <v>152</v>
      </c>
      <c r="D682" s="481">
        <v>1</v>
      </c>
      <c r="E682" s="481" t="s">
        <v>0</v>
      </c>
      <c r="F682" s="481">
        <v>2</v>
      </c>
      <c r="G682" s="481" t="s">
        <v>2</v>
      </c>
      <c r="H682" s="481" t="s">
        <v>227</v>
      </c>
    </row>
    <row r="683" spans="1:8" x14ac:dyDescent="0.2">
      <c r="A683" s="480" t="s">
        <v>324</v>
      </c>
      <c r="B683" s="479">
        <v>44897</v>
      </c>
      <c r="C683" s="481" t="s">
        <v>151</v>
      </c>
      <c r="D683" s="481">
        <v>1</v>
      </c>
      <c r="E683" s="481" t="s">
        <v>0</v>
      </c>
      <c r="F683" s="481">
        <v>2</v>
      </c>
      <c r="G683" s="481" t="s">
        <v>10</v>
      </c>
      <c r="H683" s="481" t="s">
        <v>183</v>
      </c>
    </row>
    <row r="684" spans="1:8" x14ac:dyDescent="0.2">
      <c r="A684" s="480" t="s">
        <v>325</v>
      </c>
      <c r="B684" s="479">
        <v>44897</v>
      </c>
      <c r="C684" s="481" t="s">
        <v>128</v>
      </c>
      <c r="D684" s="481">
        <v>2</v>
      </c>
      <c r="E684" s="481" t="s">
        <v>0</v>
      </c>
      <c r="F684" s="481">
        <v>0</v>
      </c>
      <c r="G684" s="481" t="s">
        <v>12</v>
      </c>
      <c r="H684" s="481" t="s">
        <v>183</v>
      </c>
    </row>
    <row r="685" spans="1:8" x14ac:dyDescent="0.2">
      <c r="A685" s="480" t="s">
        <v>330</v>
      </c>
      <c r="B685" s="479">
        <v>44897</v>
      </c>
      <c r="C685" s="481" t="s">
        <v>5</v>
      </c>
      <c r="D685" s="481">
        <v>0</v>
      </c>
      <c r="E685" s="481" t="s">
        <v>0</v>
      </c>
      <c r="F685" s="481">
        <v>3</v>
      </c>
      <c r="G685" s="481" t="s">
        <v>9</v>
      </c>
      <c r="H685" s="481" t="s">
        <v>183</v>
      </c>
    </row>
    <row r="686" spans="1:8" x14ac:dyDescent="0.2">
      <c r="A686" s="480" t="s">
        <v>331</v>
      </c>
      <c r="B686" s="479">
        <v>44897</v>
      </c>
      <c r="C686" s="481" t="s">
        <v>152</v>
      </c>
      <c r="D686" s="481">
        <v>1</v>
      </c>
      <c r="E686" s="481" t="s">
        <v>0</v>
      </c>
      <c r="F686" s="481">
        <v>2</v>
      </c>
      <c r="G686" s="481" t="s">
        <v>2</v>
      </c>
      <c r="H686" s="481" t="s">
        <v>183</v>
      </c>
    </row>
    <row r="687" spans="1:8" x14ac:dyDescent="0.2">
      <c r="A687" s="480" t="s">
        <v>324</v>
      </c>
      <c r="B687" s="479">
        <v>44897</v>
      </c>
      <c r="C687" s="481" t="s">
        <v>151</v>
      </c>
      <c r="D687" s="481">
        <v>0</v>
      </c>
      <c r="E687" s="481" t="s">
        <v>0</v>
      </c>
      <c r="F687" s="481">
        <v>3</v>
      </c>
      <c r="G687" s="481" t="s">
        <v>10</v>
      </c>
      <c r="H687" s="481" t="s">
        <v>185</v>
      </c>
    </row>
    <row r="688" spans="1:8" x14ac:dyDescent="0.2">
      <c r="A688" s="480" t="s">
        <v>325</v>
      </c>
      <c r="B688" s="479">
        <v>44897</v>
      </c>
      <c r="C688" s="481" t="s">
        <v>128</v>
      </c>
      <c r="D688" s="481">
        <v>1</v>
      </c>
      <c r="E688" s="481" t="s">
        <v>0</v>
      </c>
      <c r="F688" s="481">
        <v>1</v>
      </c>
      <c r="G688" s="481" t="s">
        <v>12</v>
      </c>
      <c r="H688" s="481" t="s">
        <v>185</v>
      </c>
    </row>
    <row r="689" spans="1:8" x14ac:dyDescent="0.2">
      <c r="A689" s="480" t="s">
        <v>330</v>
      </c>
      <c r="B689" s="479">
        <v>44897</v>
      </c>
      <c r="C689" s="481" t="s">
        <v>5</v>
      </c>
      <c r="D689" s="481">
        <v>0</v>
      </c>
      <c r="E689" s="481" t="s">
        <v>0</v>
      </c>
      <c r="F689" s="481">
        <v>2</v>
      </c>
      <c r="G689" s="481" t="s">
        <v>9</v>
      </c>
      <c r="H689" s="481" t="s">
        <v>185</v>
      </c>
    </row>
    <row r="690" spans="1:8" x14ac:dyDescent="0.2">
      <c r="A690" s="480" t="s">
        <v>331</v>
      </c>
      <c r="B690" s="479">
        <v>44897</v>
      </c>
      <c r="C690" s="481" t="s">
        <v>152</v>
      </c>
      <c r="D690" s="481">
        <v>0</v>
      </c>
      <c r="E690" s="481" t="s">
        <v>0</v>
      </c>
      <c r="F690" s="481">
        <v>1</v>
      </c>
      <c r="G690" s="481" t="s">
        <v>2</v>
      </c>
      <c r="H690" s="481" t="s">
        <v>185</v>
      </c>
    </row>
    <row r="691" spans="1:8" x14ac:dyDescent="0.2">
      <c r="A691" s="480" t="s">
        <v>324</v>
      </c>
      <c r="B691" s="479">
        <v>44897</v>
      </c>
      <c r="C691" s="481" t="s">
        <v>151</v>
      </c>
      <c r="D691" s="481">
        <v>0</v>
      </c>
      <c r="E691" s="481" t="s">
        <v>0</v>
      </c>
      <c r="F691" s="481">
        <v>3</v>
      </c>
      <c r="G691" s="481" t="s">
        <v>10</v>
      </c>
      <c r="H691" s="481" t="s">
        <v>332</v>
      </c>
    </row>
    <row r="692" spans="1:8" x14ac:dyDescent="0.2">
      <c r="A692" s="480" t="s">
        <v>325</v>
      </c>
      <c r="B692" s="479">
        <v>44897</v>
      </c>
      <c r="C692" s="481" t="s">
        <v>128</v>
      </c>
      <c r="D692" s="481">
        <v>1</v>
      </c>
      <c r="E692" s="481" t="s">
        <v>0</v>
      </c>
      <c r="F692" s="481">
        <v>2</v>
      </c>
      <c r="G692" s="481" t="s">
        <v>12</v>
      </c>
      <c r="H692" s="481" t="s">
        <v>332</v>
      </c>
    </row>
    <row r="693" spans="1:8" x14ac:dyDescent="0.2">
      <c r="A693" s="480" t="s">
        <v>330</v>
      </c>
      <c r="B693" s="479">
        <v>44897</v>
      </c>
      <c r="C693" s="481" t="s">
        <v>5</v>
      </c>
      <c r="D693" s="481">
        <v>0</v>
      </c>
      <c r="E693" s="481" t="s">
        <v>0</v>
      </c>
      <c r="F693" s="481">
        <v>2</v>
      </c>
      <c r="G693" s="481" t="s">
        <v>9</v>
      </c>
      <c r="H693" s="481" t="s">
        <v>332</v>
      </c>
    </row>
    <row r="694" spans="1:8" x14ac:dyDescent="0.2">
      <c r="A694" s="480" t="s">
        <v>331</v>
      </c>
      <c r="B694" s="479">
        <v>44897</v>
      </c>
      <c r="C694" s="481" t="s">
        <v>152</v>
      </c>
      <c r="D694" s="481">
        <v>1</v>
      </c>
      <c r="E694" s="481" t="s">
        <v>0</v>
      </c>
      <c r="F694" s="481">
        <v>2</v>
      </c>
      <c r="G694" s="481" t="s">
        <v>2</v>
      </c>
      <c r="H694" s="481" t="s">
        <v>332</v>
      </c>
    </row>
    <row r="695" spans="1:8" x14ac:dyDescent="0.2">
      <c r="A695" s="480" t="s">
        <v>324</v>
      </c>
      <c r="B695" s="479">
        <v>44897</v>
      </c>
      <c r="C695" s="483" t="s">
        <v>151</v>
      </c>
      <c r="D695" s="483">
        <v>0</v>
      </c>
      <c r="E695" s="483" t="s">
        <v>0</v>
      </c>
      <c r="F695" s="483">
        <v>2</v>
      </c>
      <c r="G695" s="483" t="s">
        <v>10</v>
      </c>
      <c r="H695" s="481" t="s">
        <v>182</v>
      </c>
    </row>
    <row r="696" spans="1:8" x14ac:dyDescent="0.2">
      <c r="A696" s="480" t="s">
        <v>325</v>
      </c>
      <c r="B696" s="479">
        <v>44897</v>
      </c>
      <c r="C696" s="483" t="s">
        <v>128</v>
      </c>
      <c r="D696" s="483">
        <v>0</v>
      </c>
      <c r="E696" s="483" t="s">
        <v>0</v>
      </c>
      <c r="F696" s="483">
        <v>1</v>
      </c>
      <c r="G696" s="483" t="s">
        <v>12</v>
      </c>
      <c r="H696" s="481" t="s">
        <v>182</v>
      </c>
    </row>
    <row r="697" spans="1:8" x14ac:dyDescent="0.2">
      <c r="A697" s="480" t="s">
        <v>330</v>
      </c>
      <c r="B697" s="479">
        <v>44897</v>
      </c>
      <c r="C697" s="483" t="s">
        <v>5</v>
      </c>
      <c r="D697" s="483">
        <v>0</v>
      </c>
      <c r="E697" s="483" t="s">
        <v>0</v>
      </c>
      <c r="F697" s="483">
        <v>1</v>
      </c>
      <c r="G697" s="483" t="s">
        <v>9</v>
      </c>
      <c r="H697" s="481" t="s">
        <v>182</v>
      </c>
    </row>
    <row r="698" spans="1:8" x14ac:dyDescent="0.2">
      <c r="A698" s="480" t="s">
        <v>331</v>
      </c>
      <c r="B698" s="479">
        <v>44897</v>
      </c>
      <c r="C698" s="483" t="s">
        <v>152</v>
      </c>
      <c r="D698" s="483">
        <v>1</v>
      </c>
      <c r="E698" s="483" t="s">
        <v>0</v>
      </c>
      <c r="F698" s="483">
        <v>2</v>
      </c>
      <c r="G698" s="483" t="s">
        <v>2</v>
      </c>
      <c r="H698" s="481" t="s">
        <v>182</v>
      </c>
    </row>
  </sheetData>
  <autoFilter ref="A1:H698" xr:uid="{00000000-0009-0000-0000-000002000000}">
    <sortState xmlns:xlrd2="http://schemas.microsoft.com/office/spreadsheetml/2017/richdata2" ref="A2:H17">
      <sortCondition ref="B1:B800"/>
    </sortState>
  </autoFilter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HW71"/>
  <sheetViews>
    <sheetView workbookViewId="0">
      <selection activeCell="I22" sqref="I22"/>
    </sheetView>
  </sheetViews>
  <sheetFormatPr defaultColWidth="0" defaultRowHeight="0" customHeight="1" zeroHeight="1" x14ac:dyDescent="0.2"/>
  <cols>
    <col min="1" max="1" width="4.9765625" bestFit="1" customWidth="1"/>
    <col min="2" max="2" width="6.05078125" style="5" bestFit="1" customWidth="1"/>
    <col min="3" max="3" width="9.81640625" style="10" bestFit="1" customWidth="1"/>
    <col min="4" max="4" width="5.24609375" style="10" bestFit="1" customWidth="1"/>
    <col min="5" max="5" width="17.75390625" style="10" bestFit="1" customWidth="1"/>
    <col min="6" max="6" width="25.69140625" style="11" customWidth="1"/>
    <col min="7" max="7" width="2.6875" style="42" customWidth="1"/>
    <col min="8" max="8" width="2.6875" customWidth="1"/>
    <col min="9" max="9" width="2.6875" style="42" customWidth="1"/>
    <col min="10" max="10" width="25.69140625" style="12" customWidth="1"/>
    <col min="11" max="11" width="13.31640625" style="51" hidden="1" customWidth="1"/>
    <col min="12" max="13" width="3.2265625" customWidth="1"/>
    <col min="14" max="14" width="2.82421875" style="1" customWidth="1"/>
    <col min="15" max="15" width="2.015625" style="109" bestFit="1" customWidth="1"/>
    <col min="16" max="16" width="26.09765625" style="113" customWidth="1"/>
    <col min="17" max="17" width="4.70703125" style="322" customWidth="1"/>
    <col min="18" max="18" width="3.765625" style="322" customWidth="1"/>
    <col min="19" max="19" width="1.8828125" style="322" customWidth="1"/>
    <col min="20" max="20" width="2.28515625" style="322" customWidth="1"/>
    <col min="21" max="21" width="3.765625" style="322" customWidth="1"/>
    <col min="22" max="22" width="2.015625" style="322" customWidth="1"/>
    <col min="23" max="24" width="3.765625" style="322" hidden="1" customWidth="1"/>
    <col min="25" max="25" width="12.9140625" style="1" customWidth="1"/>
    <col min="26" max="36" width="9.14453125" hidden="1" customWidth="1"/>
    <col min="37" max="37" width="8.47265625" hidden="1" customWidth="1"/>
    <col min="38" max="38" width="8.7421875" hidden="1" customWidth="1"/>
    <col min="39" max="39" width="10.0859375" hidden="1" customWidth="1"/>
    <col min="40" max="230" width="9.14453125" hidden="1" customWidth="1"/>
    <col min="231" max="231" width="7.26171875" hidden="1" customWidth="1"/>
    <col min="232" max="16384" width="9.14453125" hidden="1"/>
  </cols>
  <sheetData>
    <row r="1" spans="1:25" s="58" customFormat="1" ht="15" customHeight="1" x14ac:dyDescent="0.2">
      <c r="B1" s="496" t="s">
        <v>94</v>
      </c>
      <c r="C1" s="498" t="s">
        <v>95</v>
      </c>
      <c r="D1" s="498" t="s">
        <v>74</v>
      </c>
      <c r="E1" s="500" t="s">
        <v>75</v>
      </c>
      <c r="F1" s="487" t="s">
        <v>96</v>
      </c>
      <c r="G1" s="488"/>
      <c r="H1" s="488"/>
      <c r="I1" s="488"/>
      <c r="J1" s="489"/>
      <c r="K1" s="51"/>
      <c r="L1" s="57"/>
      <c r="M1" s="57"/>
      <c r="N1" s="57"/>
      <c r="O1" s="438"/>
      <c r="P1" s="449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 x14ac:dyDescent="0.25">
      <c r="A2" s="58" t="s">
        <v>76</v>
      </c>
      <c r="B2" s="497"/>
      <c r="C2" s="499"/>
      <c r="D2" s="499"/>
      <c r="E2" s="501"/>
      <c r="F2" s="490"/>
      <c r="G2" s="491"/>
      <c r="H2" s="491"/>
      <c r="I2" s="491"/>
      <c r="J2" s="492"/>
      <c r="K2" s="51"/>
      <c r="L2" s="493"/>
      <c r="M2" s="494"/>
      <c r="N2" s="475"/>
      <c r="O2" s="62"/>
      <c r="P2" s="449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 x14ac:dyDescent="0.25">
      <c r="A3" s="60" t="s">
        <v>284</v>
      </c>
      <c r="B3" s="48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439">
        <f>IF(Copa2022!F11="","",Copa2022!F11)</f>
        <v>0</v>
      </c>
      <c r="H3" s="439" t="str">
        <f>IF(Copa2022!G11="","",Copa2022!G11)</f>
        <v>x</v>
      </c>
      <c r="I3" s="439">
        <f>IF(Copa2022!H11="","",Copa2022!H11)</f>
        <v>2</v>
      </c>
      <c r="J3" s="77" t="s">
        <v>142</v>
      </c>
      <c r="K3" s="52"/>
      <c r="L3" s="495">
        <f>IF(OR(Copa2022!F11="",G3=""),"",
IF(AND(Copa2022!F11=Placar!G3,Copa2022!H11=Placar!I3),Regras!$J$25,IF(Y3=Regras!F25,Regras!$J$26,0)))</f>
        <v>10</v>
      </c>
      <c r="M3" s="495"/>
      <c r="N3" s="476"/>
      <c r="O3" s="502" t="s">
        <v>220</v>
      </c>
      <c r="P3" s="526"/>
      <c r="Q3" s="324" t="str">
        <f>IF(Copa2022!F16="","",IF(Copa2022!O12=Placar!P4,Regras!$J$27,0))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 thickBot="1" x14ac:dyDescent="0.25">
      <c r="A4" s="60" t="s">
        <v>285</v>
      </c>
      <c r="B4" s="485"/>
      <c r="C4" s="171">
        <v>44886</v>
      </c>
      <c r="D4" s="194" t="s">
        <v>134</v>
      </c>
      <c r="E4" s="172" t="s">
        <v>157</v>
      </c>
      <c r="F4" s="78" t="s">
        <v>131</v>
      </c>
      <c r="G4" s="439">
        <f>IF(Copa2022!F12="","",Copa2022!F12)</f>
        <v>0</v>
      </c>
      <c r="H4" s="439" t="str">
        <f>IF(Copa2022!G12="","",Copa2022!G12)</f>
        <v>x</v>
      </c>
      <c r="I4" s="439">
        <f>IF(Copa2022!H12="","",Copa2022!H12)</f>
        <v>2</v>
      </c>
      <c r="J4" s="81" t="s">
        <v>140</v>
      </c>
      <c r="K4" s="52"/>
      <c r="L4" s="495">
        <f>IF(OR(Copa2022!F12="",G4=""),"",
IF(AND(Copa2022!F12=Placar!G4,Copa2022!H12=Placar!I4),Regras!$J$25,IF(Y4=Regras!F26,Regras!$J$26,0)))</f>
        <v>10</v>
      </c>
      <c r="M4" s="495"/>
      <c r="N4" s="476"/>
      <c r="O4" s="450">
        <v>1</v>
      </c>
      <c r="P4" s="449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 x14ac:dyDescent="0.25">
      <c r="A5" s="60" t="s">
        <v>286</v>
      </c>
      <c r="B5" s="485"/>
      <c r="C5" s="171">
        <v>44890</v>
      </c>
      <c r="D5" s="194" t="s">
        <v>135</v>
      </c>
      <c r="E5" s="172" t="s">
        <v>157</v>
      </c>
      <c r="F5" s="78" t="s">
        <v>141</v>
      </c>
      <c r="G5" s="439" t="str">
        <f>IF(Copa2022!F13="","",Copa2022!F13)</f>
        <v/>
      </c>
      <c r="H5" s="439" t="str">
        <f>IF(Copa2022!G13="","",Copa2022!G13)</f>
        <v>x</v>
      </c>
      <c r="I5" s="439" t="str">
        <f>IF(Copa2022!H13="","",Copa2022!H13)</f>
        <v/>
      </c>
      <c r="J5" s="81" t="s">
        <v>131</v>
      </c>
      <c r="K5" s="52"/>
      <c r="L5" s="495" t="str">
        <f>IF(OR(Copa2022!F13="",G5=""),"",
IF(AND(Copa2022!F13=Placar!G5,Copa2022!H13=Placar!I5),Regras!$J$25,IF(Y5=Regras!F27,Regras!$J$26,0)))</f>
        <v/>
      </c>
      <c r="M5" s="495"/>
      <c r="N5" s="476"/>
      <c r="O5" s="453">
        <v>2</v>
      </c>
      <c r="P5" s="454" t="s">
        <v>141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 thickBot="1" x14ac:dyDescent="0.25">
      <c r="A6" s="60" t="s">
        <v>287</v>
      </c>
      <c r="B6" s="485"/>
      <c r="C6" s="171">
        <v>44890</v>
      </c>
      <c r="D6" s="194" t="s">
        <v>134</v>
      </c>
      <c r="E6" s="172" t="s">
        <v>143</v>
      </c>
      <c r="F6" s="78" t="s">
        <v>140</v>
      </c>
      <c r="G6" s="439" t="str">
        <f>IF(Copa2022!F14="","",Copa2022!F14)</f>
        <v/>
      </c>
      <c r="H6" s="439" t="str">
        <f>IF(Copa2022!G14="","",Copa2022!G14)</f>
        <v>x</v>
      </c>
      <c r="I6" s="439" t="str">
        <f>IF(Copa2022!H14="","",Copa2022!H14)</f>
        <v/>
      </c>
      <c r="J6" s="81" t="s">
        <v>142</v>
      </c>
      <c r="K6" s="52"/>
      <c r="L6" s="495" t="str">
        <f>IF(OR(Copa2022!F14="",G6=""),"",
IF(AND(Copa2022!F14=Placar!G6,Copa2022!H14=Placar!I6),Regras!$J$25,IF(Y6=Regras!F28,Regras!$J$26,0)))</f>
        <v/>
      </c>
      <c r="M6" s="495"/>
      <c r="N6" s="476"/>
      <c r="O6" s="450">
        <v>3</v>
      </c>
      <c r="P6" s="449" t="s">
        <v>131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 x14ac:dyDescent="0.25">
      <c r="A7" s="60" t="s">
        <v>288</v>
      </c>
      <c r="B7" s="485"/>
      <c r="C7" s="171">
        <v>44894</v>
      </c>
      <c r="D7" s="194" t="s">
        <v>132</v>
      </c>
      <c r="E7" s="172" t="s">
        <v>161</v>
      </c>
      <c r="F7" s="78" t="s">
        <v>140</v>
      </c>
      <c r="G7" s="439" t="str">
        <f>IF(Copa2022!F15="","",Copa2022!F15)</f>
        <v/>
      </c>
      <c r="H7" s="439" t="str">
        <f>IF(Copa2022!G15="","",Copa2022!G15)</f>
        <v>x</v>
      </c>
      <c r="I7" s="439" t="str">
        <f>IF(Copa2022!H15="","",Copa2022!H15)</f>
        <v/>
      </c>
      <c r="J7" s="81" t="s">
        <v>141</v>
      </c>
      <c r="K7" s="52"/>
      <c r="L7" s="495" t="str">
        <f>IF(OR(Copa2022!F15="",G7=""),"",
IF(AND(Copa2022!F15=Placar!G7,Copa2022!H15=Placar!I7),Regras!$J$25,IF(Y7=Regras!F29,Regras!$J$26,0)))</f>
        <v/>
      </c>
      <c r="M7" s="495"/>
      <c r="N7" s="476"/>
      <c r="O7" s="451">
        <v>4</v>
      </c>
      <c r="P7" s="452" t="s">
        <v>142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 x14ac:dyDescent="0.25">
      <c r="A8" s="60" t="s">
        <v>289</v>
      </c>
      <c r="B8" s="486"/>
      <c r="C8" s="173">
        <v>44894</v>
      </c>
      <c r="D8" s="195" t="s">
        <v>132</v>
      </c>
      <c r="E8" s="174" t="s">
        <v>143</v>
      </c>
      <c r="F8" s="86" t="s">
        <v>142</v>
      </c>
      <c r="G8" s="439" t="str">
        <f>IF(Copa2022!F16="","",Copa2022!F16)</f>
        <v/>
      </c>
      <c r="H8" s="439" t="str">
        <f>IF(Copa2022!G16="","",Copa2022!G16)</f>
        <v>x</v>
      </c>
      <c r="I8" s="439" t="str">
        <f>IF(Copa2022!H16="","",Copa2022!H16)</f>
        <v/>
      </c>
      <c r="J8" s="89" t="s">
        <v>131</v>
      </c>
      <c r="K8" s="52"/>
      <c r="L8" s="495" t="str">
        <f>IF(OR(Copa2022!F16="",G8=""),"",
IF(AND(Copa2022!F16=Placar!G8,Copa2022!H16=Placar!I8),Regras!$J$25,IF(Y8=Regras!F30,Regras!$J$26,0)))</f>
        <v/>
      </c>
      <c r="M8" s="495"/>
      <c r="N8" s="476"/>
      <c r="O8" s="457"/>
      <c r="P8" s="466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 x14ac:dyDescent="0.25">
      <c r="A9" s="60" t="s">
        <v>290</v>
      </c>
      <c r="B9" s="48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439">
        <f>IF(Copa2022!F17="","",Copa2022!F17)</f>
        <v>6</v>
      </c>
      <c r="H9" s="439" t="str">
        <f>IF(Copa2022!G17="","",Copa2022!G17)</f>
        <v>x</v>
      </c>
      <c r="I9" s="439">
        <f>IF(Copa2022!H17="","",Copa2022!H17)</f>
        <v>2</v>
      </c>
      <c r="J9" s="85" t="s">
        <v>123</v>
      </c>
      <c r="K9" s="52"/>
      <c r="L9" s="495">
        <f>IF(OR(Copa2022!F17="",G9=""),"",
IF(AND(Copa2022!F17=Placar!G9,Copa2022!H17=Placar!I9),Regras!$J$25,IF(Y9=Regras!F31,Regras!$J$26,0)))</f>
        <v>10</v>
      </c>
      <c r="M9" s="495"/>
      <c r="N9" s="476"/>
      <c r="O9" s="502" t="s">
        <v>48</v>
      </c>
      <c r="P9" s="503"/>
      <c r="Q9" s="324" t="str">
        <f>IF(Copa2022!F22="","",IF(Copa2022!O18=Placar!P10,Regras!$J$27,0))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 thickBot="1" x14ac:dyDescent="0.25">
      <c r="A10" s="60" t="s">
        <v>291</v>
      </c>
      <c r="B10" s="485"/>
      <c r="C10" s="171">
        <v>44886</v>
      </c>
      <c r="D10" s="194" t="s">
        <v>136</v>
      </c>
      <c r="E10" s="177" t="s">
        <v>162</v>
      </c>
      <c r="F10" s="78" t="s">
        <v>145</v>
      </c>
      <c r="G10" s="439">
        <f>IF(Copa2022!F18="","",Copa2022!F18)</f>
        <v>1</v>
      </c>
      <c r="H10" s="439" t="str">
        <f>IF(Copa2022!G18="","",Copa2022!G18)</f>
        <v>x</v>
      </c>
      <c r="I10" s="439">
        <f>IF(Copa2022!H18="","",Copa2022!H18)</f>
        <v>1</v>
      </c>
      <c r="J10" s="81" t="s">
        <v>158</v>
      </c>
      <c r="K10" s="52"/>
      <c r="L10" s="495">
        <f>IF(OR(Copa2022!F18="",G10=""),"",
IF(AND(Copa2022!F18=Placar!G10,Copa2022!H18=Placar!I10),Regras!$J$25,IF(Y10=Regras!F32,Regras!$J$26,0)))</f>
        <v>10</v>
      </c>
      <c r="M10" s="495"/>
      <c r="N10" s="476"/>
      <c r="O10" s="450">
        <v>1</v>
      </c>
      <c r="P10" s="449" t="s">
        <v>145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empate</v>
      </c>
    </row>
    <row r="11" spans="1:25" s="60" customFormat="1" ht="35.1" customHeight="1" thickBot="1" x14ac:dyDescent="0.25">
      <c r="A11" s="60" t="s">
        <v>292</v>
      </c>
      <c r="B11" s="485"/>
      <c r="C11" s="171">
        <v>44890</v>
      </c>
      <c r="D11" s="194" t="s">
        <v>133</v>
      </c>
      <c r="E11" s="177" t="s">
        <v>162</v>
      </c>
      <c r="F11" s="78" t="s">
        <v>158</v>
      </c>
      <c r="G11" s="439" t="str">
        <f>IF(Copa2022!F19="","",Copa2022!F19)</f>
        <v/>
      </c>
      <c r="H11" s="439" t="str">
        <f>IF(Copa2022!G19="","",Copa2022!G19)</f>
        <v>x</v>
      </c>
      <c r="I11" s="439" t="str">
        <f>IF(Copa2022!H19="","",Copa2022!H19)</f>
        <v/>
      </c>
      <c r="J11" s="81" t="s">
        <v>123</v>
      </c>
      <c r="K11" s="52"/>
      <c r="L11" s="495" t="str">
        <f>IF(OR(Copa2022!F19="",G11=""),"",
IF(AND(Copa2022!F19=Placar!G11,Copa2022!H19=Placar!I11),Regras!$J$25,IF(Y11=Regras!F33,Regras!$J$26,0)))</f>
        <v/>
      </c>
      <c r="M11" s="495"/>
      <c r="N11" s="476"/>
      <c r="O11" s="453">
        <v>2</v>
      </c>
      <c r="P11" s="454" t="s">
        <v>6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 thickBot="1" x14ac:dyDescent="0.25">
      <c r="A12" s="60" t="s">
        <v>293</v>
      </c>
      <c r="B12" s="485"/>
      <c r="C12" s="171">
        <v>44890</v>
      </c>
      <c r="D12" s="194" t="s">
        <v>136</v>
      </c>
      <c r="E12" s="177" t="s">
        <v>161</v>
      </c>
      <c r="F12" s="78" t="s">
        <v>6</v>
      </c>
      <c r="G12" s="439" t="str">
        <f>IF(Copa2022!F20="","",Copa2022!F20)</f>
        <v/>
      </c>
      <c r="H12" s="439" t="str">
        <f>IF(Copa2022!G20="","",Copa2022!G20)</f>
        <v>x</v>
      </c>
      <c r="I12" s="439" t="str">
        <f>IF(Copa2022!H20="","",Copa2022!H20)</f>
        <v/>
      </c>
      <c r="J12" s="81" t="s">
        <v>145</v>
      </c>
      <c r="K12" s="52"/>
      <c r="L12" s="495" t="str">
        <f>IF(OR(Copa2022!F20="",G12=""),"",
IF(AND(Copa2022!F20=Placar!G12,Copa2022!H20=Placar!I12),Regras!$J$25,IF(Y12=Regras!F34,Regras!$J$26,0)))</f>
        <v/>
      </c>
      <c r="M12" s="495"/>
      <c r="N12" s="476"/>
      <c r="O12" s="450">
        <v>3</v>
      </c>
      <c r="P12" s="449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 x14ac:dyDescent="0.25">
      <c r="A13" s="60" t="s">
        <v>294</v>
      </c>
      <c r="B13" s="485"/>
      <c r="C13" s="171">
        <v>44894</v>
      </c>
      <c r="D13" s="194" t="s">
        <v>136</v>
      </c>
      <c r="E13" s="177" t="s">
        <v>162</v>
      </c>
      <c r="F13" s="78" t="s">
        <v>158</v>
      </c>
      <c r="G13" s="439" t="str">
        <f>IF(Copa2022!F21="","",Copa2022!F21)</f>
        <v/>
      </c>
      <c r="H13" s="439" t="str">
        <f>IF(Copa2022!G21="","",Copa2022!G21)</f>
        <v>x</v>
      </c>
      <c r="I13" s="439" t="str">
        <f>IF(Copa2022!H21="","",Copa2022!H21)</f>
        <v/>
      </c>
      <c r="J13" s="81" t="s">
        <v>6</v>
      </c>
      <c r="K13" s="52"/>
      <c r="L13" s="495" t="str">
        <f>IF(OR(Copa2022!F21="",G13=""),"",
IF(AND(Copa2022!F21=Placar!G13,Copa2022!H21=Placar!I13),Regras!$J$25,IF(Y13=Regras!F35,Regras!$J$26,0)))</f>
        <v/>
      </c>
      <c r="M13" s="495"/>
      <c r="N13" s="476"/>
      <c r="O13" s="451">
        <v>4</v>
      </c>
      <c r="P13" s="452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 x14ac:dyDescent="0.25">
      <c r="A14" s="60" t="s">
        <v>295</v>
      </c>
      <c r="B14" s="486"/>
      <c r="C14" s="173">
        <v>44894</v>
      </c>
      <c r="D14" s="195" t="s">
        <v>136</v>
      </c>
      <c r="E14" s="178" t="s">
        <v>157</v>
      </c>
      <c r="F14" s="90" t="s">
        <v>123</v>
      </c>
      <c r="G14" s="439" t="str">
        <f>IF(Copa2022!F22="","",Copa2022!F22)</f>
        <v/>
      </c>
      <c r="H14" s="439" t="str">
        <f>IF(Copa2022!G22="","",Copa2022!G22)</f>
        <v>x</v>
      </c>
      <c r="I14" s="439" t="str">
        <f>IF(Copa2022!H22="","",Copa2022!H22)</f>
        <v/>
      </c>
      <c r="J14" s="93" t="s">
        <v>145</v>
      </c>
      <c r="K14" s="52"/>
      <c r="L14" s="495" t="str">
        <f>IF(OR(Copa2022!F22="",G14=""),"",
IF(AND(Copa2022!F22=Placar!G14,Copa2022!H22=Placar!I14),Regras!$J$25,IF(Y14=Regras!F36,Regras!$J$26,0)))</f>
        <v/>
      </c>
      <c r="M14" s="495"/>
      <c r="N14" s="476"/>
      <c r="O14" s="438"/>
      <c r="P14" s="449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 x14ac:dyDescent="0.25">
      <c r="A15" s="60" t="s">
        <v>296</v>
      </c>
      <c r="B15" s="48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439">
        <f>IF(Copa2022!F23="","",Copa2022!F23)</f>
        <v>1</v>
      </c>
      <c r="H15" s="439" t="str">
        <f>IF(Copa2022!G23="","",Copa2022!G23)</f>
        <v>x</v>
      </c>
      <c r="I15" s="439">
        <f>IF(Copa2022!H23="","",Copa2022!H23)</f>
        <v>2</v>
      </c>
      <c r="J15" s="77" t="s">
        <v>125</v>
      </c>
      <c r="K15" s="52"/>
      <c r="L15" s="495">
        <f>IF(OR(Copa2022!F23="",G15=""),"",
IF(AND(Copa2022!F23=Placar!G15,Copa2022!H23=Placar!I15),Regras!$J$25,IF(Y15=Regras!F37,Regras!$J$26,0)))</f>
        <v>10</v>
      </c>
      <c r="M15" s="495"/>
      <c r="N15" s="476"/>
      <c r="O15" s="502" t="s">
        <v>50</v>
      </c>
      <c r="P15" s="503"/>
      <c r="Q15" s="324" t="str">
        <f>IF(Copa2022!F28="","",IF(Copa2022!O24=Placar!P16,Regras!$J$27,0))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Arábia Saudita</v>
      </c>
    </row>
    <row r="16" spans="1:25" s="60" customFormat="1" ht="35.1" customHeight="1" thickBot="1" x14ac:dyDescent="0.25">
      <c r="A16" s="60" t="s">
        <v>297</v>
      </c>
      <c r="B16" s="485"/>
      <c r="C16" s="171">
        <v>44887</v>
      </c>
      <c r="D16" s="194" t="s">
        <v>134</v>
      </c>
      <c r="E16" s="172" t="s">
        <v>163</v>
      </c>
      <c r="F16" s="78" t="s">
        <v>1</v>
      </c>
      <c r="G16" s="439">
        <f>IF(Copa2022!F24="","",Copa2022!F24)</f>
        <v>0</v>
      </c>
      <c r="H16" s="439" t="str">
        <f>IF(Copa2022!G24="","",Copa2022!G24)</f>
        <v>x</v>
      </c>
      <c r="I16" s="439">
        <f>IF(Copa2022!H24="","",Copa2022!H24)</f>
        <v>0</v>
      </c>
      <c r="J16" s="81" t="s">
        <v>130</v>
      </c>
      <c r="K16" s="52"/>
      <c r="L16" s="495">
        <f>IF(OR(Copa2022!F24="",G16=""),"",
IF(AND(Copa2022!F24=Placar!G16,Copa2022!H24=Placar!I16),Regras!$J$25,IF(Y16=Regras!F38,Regras!$J$26,0)))</f>
        <v>10</v>
      </c>
      <c r="M16" s="495"/>
      <c r="N16" s="476"/>
      <c r="O16" s="450">
        <v>1</v>
      </c>
      <c r="P16" s="449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empate</v>
      </c>
    </row>
    <row r="17" spans="1:25" s="60" customFormat="1" ht="35.1" customHeight="1" thickBot="1" x14ac:dyDescent="0.25">
      <c r="A17" s="60" t="s">
        <v>298</v>
      </c>
      <c r="B17" s="485"/>
      <c r="C17" s="171">
        <v>44891</v>
      </c>
      <c r="D17" s="194" t="s">
        <v>135</v>
      </c>
      <c r="E17" s="172" t="s">
        <v>148</v>
      </c>
      <c r="F17" s="78" t="s">
        <v>130</v>
      </c>
      <c r="G17" s="439" t="str">
        <f>IF(Copa2022!F25="","",Copa2022!F25)</f>
        <v/>
      </c>
      <c r="H17" s="439" t="str">
        <f>IF(Copa2022!G25="","",Copa2022!G25)</f>
        <v>x</v>
      </c>
      <c r="I17" s="439" t="str">
        <f>IF(Copa2022!H25="","",Copa2022!H25)</f>
        <v/>
      </c>
      <c r="J17" s="81" t="s">
        <v>125</v>
      </c>
      <c r="K17" s="52"/>
      <c r="L17" s="495" t="str">
        <f>IF(OR(Copa2022!F25="",G17=""),"",
IF(AND(Copa2022!F25=Placar!G17,Copa2022!H25=Placar!I17),Regras!$J$25,IF(Y17=Regras!F39,Regras!$J$26,0)))</f>
        <v/>
      </c>
      <c r="M17" s="495"/>
      <c r="N17" s="476"/>
      <c r="O17" s="453">
        <v>2</v>
      </c>
      <c r="P17" s="454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 thickBot="1" x14ac:dyDescent="0.25">
      <c r="A18" s="60" t="s">
        <v>299</v>
      </c>
      <c r="B18" s="485"/>
      <c r="C18" s="171">
        <v>44891</v>
      </c>
      <c r="D18" s="194" t="s">
        <v>136</v>
      </c>
      <c r="E18" s="172" t="s">
        <v>146</v>
      </c>
      <c r="F18" s="78" t="s">
        <v>4</v>
      </c>
      <c r="G18" s="439" t="str">
        <f>IF(Copa2022!F26="","",Copa2022!F26)</f>
        <v/>
      </c>
      <c r="H18" s="439" t="str">
        <f>IF(Copa2022!G26="","",Copa2022!G26)</f>
        <v>x</v>
      </c>
      <c r="I18" s="439" t="str">
        <f>IF(Copa2022!H26="","",Copa2022!H26)</f>
        <v/>
      </c>
      <c r="J18" s="81" t="s">
        <v>1</v>
      </c>
      <c r="K18" s="52"/>
      <c r="L18" s="495" t="str">
        <f>IF(OR(Copa2022!F26="",G18=""),"",
IF(AND(Copa2022!F26=Placar!G18,Copa2022!H26=Placar!I18),Regras!$J$25,IF(Y18=Regras!F40,Regras!$J$26,0)))</f>
        <v/>
      </c>
      <c r="M18" s="495"/>
      <c r="N18" s="476"/>
      <c r="O18" s="450">
        <v>3</v>
      </c>
      <c r="P18" s="449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 x14ac:dyDescent="0.25">
      <c r="A19" s="60" t="s">
        <v>300</v>
      </c>
      <c r="B19" s="485"/>
      <c r="C19" s="171">
        <v>44895</v>
      </c>
      <c r="D19" s="194" t="s">
        <v>136</v>
      </c>
      <c r="E19" s="172" t="s">
        <v>163</v>
      </c>
      <c r="F19" s="78" t="s">
        <v>130</v>
      </c>
      <c r="G19" s="439" t="str">
        <f>IF(Copa2022!F27="","",Copa2022!F27)</f>
        <v/>
      </c>
      <c r="H19" s="439" t="str">
        <f>IF(Copa2022!G27="","",Copa2022!G27)</f>
        <v>x</v>
      </c>
      <c r="I19" s="439" t="str">
        <f>IF(Copa2022!H27="","",Copa2022!H27)</f>
        <v/>
      </c>
      <c r="J19" s="81" t="s">
        <v>4</v>
      </c>
      <c r="K19" s="52"/>
      <c r="L19" s="495" t="str">
        <f>IF(OR(Copa2022!F27="",G19=""),"",
IF(AND(Copa2022!F27=Placar!G19,Copa2022!H27=Placar!I19),Regras!$J$25,IF(Y19=Regras!F41,Regras!$J$26,0)))</f>
        <v/>
      </c>
      <c r="M19" s="495"/>
      <c r="N19" s="476"/>
      <c r="O19" s="451">
        <v>4</v>
      </c>
      <c r="P19" s="452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 x14ac:dyDescent="0.25">
      <c r="A20" s="60" t="s">
        <v>301</v>
      </c>
      <c r="B20" s="486"/>
      <c r="C20" s="173">
        <v>44895</v>
      </c>
      <c r="D20" s="195" t="s">
        <v>136</v>
      </c>
      <c r="E20" s="174" t="s">
        <v>146</v>
      </c>
      <c r="F20" s="86" t="s">
        <v>125</v>
      </c>
      <c r="G20" s="439" t="str">
        <f>IF(Copa2022!F28="","",Copa2022!F28)</f>
        <v/>
      </c>
      <c r="H20" s="439" t="str">
        <f>IF(Copa2022!G28="","",Copa2022!G28)</f>
        <v>x</v>
      </c>
      <c r="I20" s="439" t="str">
        <f>IF(Copa2022!H28="","",Copa2022!H28)</f>
        <v/>
      </c>
      <c r="J20" s="89" t="s">
        <v>1</v>
      </c>
      <c r="K20" s="52"/>
      <c r="L20" s="495" t="str">
        <f>IF(OR(Copa2022!F28="",G20=""),"",
IF(AND(Copa2022!F28=Placar!G20,Copa2022!H28=Placar!I20),Regras!$J$25,IF(Y20=Regras!F42,Regras!$J$26,0)))</f>
        <v/>
      </c>
      <c r="M20" s="495"/>
      <c r="N20" s="476"/>
      <c r="O20" s="438"/>
      <c r="P20" s="449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 x14ac:dyDescent="0.25">
      <c r="A21" s="60" t="s">
        <v>302</v>
      </c>
      <c r="B21" s="48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439">
        <f>IF(Copa2022!F29="","",Copa2022!F29)</f>
        <v>0</v>
      </c>
      <c r="H21" s="439" t="str">
        <f>IF(Copa2022!G29="","",Copa2022!G29)</f>
        <v>x</v>
      </c>
      <c r="I21" s="439">
        <f>IF(Copa2022!H29="","",Copa2022!H29)</f>
        <v>0</v>
      </c>
      <c r="J21" s="85" t="s">
        <v>129</v>
      </c>
      <c r="K21" s="52"/>
      <c r="L21" s="495">
        <f>IF(OR(Copa2022!F29="",G21=""),"",
IF(AND(Copa2022!F29=Placar!G21,Copa2022!H29=Placar!I21),Regras!$J$25,IF(Y21=Regras!F43,Regras!$J$26,0)))</f>
        <v>10</v>
      </c>
      <c r="M21" s="495"/>
      <c r="N21" s="476"/>
      <c r="O21" s="502" t="s">
        <v>51</v>
      </c>
      <c r="P21" s="503"/>
      <c r="Q21" s="324" t="str">
        <f>IF(Copa2022!F34="","",IF(Copa2022!O30=Placar!P22,Regras!$J$27,0))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empate</v>
      </c>
    </row>
    <row r="22" spans="1:25" s="60" customFormat="1" ht="35.1" customHeight="1" thickBot="1" x14ac:dyDescent="0.25">
      <c r="A22" s="60" t="s">
        <v>303</v>
      </c>
      <c r="B22" s="485"/>
      <c r="C22" s="171">
        <v>44887</v>
      </c>
      <c r="D22" s="194" t="s">
        <v>136</v>
      </c>
      <c r="E22" s="177" t="s">
        <v>164</v>
      </c>
      <c r="F22" s="78" t="s">
        <v>3</v>
      </c>
      <c r="G22" s="439">
        <f>IF(Copa2022!F30="","",Copa2022!F30)</f>
        <v>4</v>
      </c>
      <c r="H22" s="439" t="str">
        <f>IF(Copa2022!G30="","",Copa2022!G30)</f>
        <v>x</v>
      </c>
      <c r="I22" s="439">
        <f>IF(Copa2022!H30="","",Copa2022!H30)</f>
        <v>1</v>
      </c>
      <c r="J22" s="81" t="s">
        <v>159</v>
      </c>
      <c r="K22" s="52"/>
      <c r="L22" s="495">
        <f>IF(OR(Copa2022!F30="",G22=""),"",
IF(AND(Copa2022!F30=Placar!G22,Copa2022!H30=Placar!I22),Regras!$J$25,IF(Y22=Regras!F44,Regras!$J$26,0)))</f>
        <v>10</v>
      </c>
      <c r="M22" s="495"/>
      <c r="N22" s="476"/>
      <c r="O22" s="450">
        <v>1</v>
      </c>
      <c r="P22" s="449" t="s">
        <v>127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 x14ac:dyDescent="0.25">
      <c r="A23" s="60" t="s">
        <v>304</v>
      </c>
      <c r="B23" s="485"/>
      <c r="C23" s="171">
        <v>44891</v>
      </c>
      <c r="D23" s="194" t="s">
        <v>133</v>
      </c>
      <c r="E23" s="177" t="s">
        <v>164</v>
      </c>
      <c r="F23" s="78" t="s">
        <v>129</v>
      </c>
      <c r="G23" s="439" t="str">
        <f>IF(Copa2022!F31="","",Copa2022!F31)</f>
        <v/>
      </c>
      <c r="H23" s="439" t="str">
        <f>IF(Copa2022!G31="","",Copa2022!G31)</f>
        <v>x</v>
      </c>
      <c r="I23" s="439" t="str">
        <f>IF(Copa2022!H31="","",Copa2022!H31)</f>
        <v/>
      </c>
      <c r="J23" s="81" t="s">
        <v>159</v>
      </c>
      <c r="K23" s="52"/>
      <c r="L23" s="495" t="str">
        <f>IF(OR(Copa2022!F31="",G23=""),"",
IF(AND(Copa2022!F31=Placar!G23,Copa2022!H31=Placar!I23),Regras!$J$25,IF(Y23=Regras!F45,Regras!$J$26,0)))</f>
        <v/>
      </c>
      <c r="M23" s="495"/>
      <c r="N23" s="476"/>
      <c r="O23" s="453">
        <v>2</v>
      </c>
      <c r="P23" s="454" t="s">
        <v>3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 thickBot="1" x14ac:dyDescent="0.25">
      <c r="A24" s="60" t="s">
        <v>305</v>
      </c>
      <c r="B24" s="485"/>
      <c r="C24" s="171">
        <v>44891</v>
      </c>
      <c r="D24" s="194" t="s">
        <v>134</v>
      </c>
      <c r="E24" s="177" t="s">
        <v>163</v>
      </c>
      <c r="F24" s="78" t="s">
        <v>3</v>
      </c>
      <c r="G24" s="439" t="str">
        <f>IF(Copa2022!F32="","",Copa2022!F32)</f>
        <v/>
      </c>
      <c r="H24" s="439" t="str">
        <f>IF(Copa2022!G32="","",Copa2022!G32)</f>
        <v>x</v>
      </c>
      <c r="I24" s="439" t="str">
        <f>IF(Copa2022!H32="","",Copa2022!H32)</f>
        <v/>
      </c>
      <c r="J24" s="81" t="s">
        <v>127</v>
      </c>
      <c r="K24" s="52"/>
      <c r="L24" s="495" t="str">
        <f>IF(OR(Copa2022!F32="",G24=""),"",
IF(AND(Copa2022!F32=Placar!G24,Copa2022!H32=Placar!I24),Regras!$J$25,IF(Y24=Regras!F46,Regras!$J$26,0)))</f>
        <v/>
      </c>
      <c r="M24" s="495"/>
      <c r="N24" s="476"/>
      <c r="O24" s="450">
        <v>3</v>
      </c>
      <c r="P24" s="449" t="s">
        <v>129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 x14ac:dyDescent="0.25">
      <c r="A25" s="60" t="s">
        <v>306</v>
      </c>
      <c r="B25" s="485"/>
      <c r="C25" s="171">
        <v>44895</v>
      </c>
      <c r="D25" s="194" t="s">
        <v>132</v>
      </c>
      <c r="E25" s="177" t="s">
        <v>148</v>
      </c>
      <c r="F25" s="78" t="s">
        <v>129</v>
      </c>
      <c r="G25" s="439" t="str">
        <f>IF(Copa2022!F33="","",Copa2022!F33)</f>
        <v/>
      </c>
      <c r="H25" s="439" t="str">
        <f>IF(Copa2022!G33="","",Copa2022!G33)</f>
        <v>x</v>
      </c>
      <c r="I25" s="439" t="str">
        <f>IF(Copa2022!H33="","",Copa2022!H33)</f>
        <v/>
      </c>
      <c r="J25" s="81" t="s">
        <v>3</v>
      </c>
      <c r="K25" s="52"/>
      <c r="L25" s="495" t="str">
        <f>IF(OR(Copa2022!F33="",G25=""),"",
IF(AND(Copa2022!F33=Placar!G25,Copa2022!H33=Placar!I25),Regras!$J$25,IF(Y25=Regras!F47,Regras!$J$26,0)))</f>
        <v/>
      </c>
      <c r="M25" s="495"/>
      <c r="N25" s="476"/>
      <c r="O25" s="451">
        <v>4</v>
      </c>
      <c r="P25" s="452" t="s">
        <v>159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 x14ac:dyDescent="0.25">
      <c r="A26" s="60" t="s">
        <v>307</v>
      </c>
      <c r="B26" s="486"/>
      <c r="C26" s="173">
        <v>44895</v>
      </c>
      <c r="D26" s="195" t="s">
        <v>132</v>
      </c>
      <c r="E26" s="178" t="s">
        <v>164</v>
      </c>
      <c r="F26" s="90" t="s">
        <v>159</v>
      </c>
      <c r="G26" s="439" t="str">
        <f>IF(Copa2022!F34="","",Copa2022!F34)</f>
        <v/>
      </c>
      <c r="H26" s="439" t="str">
        <f>IF(Copa2022!G34="","",Copa2022!G34)</f>
        <v>x</v>
      </c>
      <c r="I26" s="439" t="str">
        <f>IF(Copa2022!H34="","",Copa2022!H34)</f>
        <v/>
      </c>
      <c r="J26" s="93" t="s">
        <v>127</v>
      </c>
      <c r="K26" s="52"/>
      <c r="L26" s="495" t="str">
        <f>IF(OR(Copa2022!F34="",G26=""),"",
IF(AND(Copa2022!F34=Placar!G26,Copa2022!H34=Placar!I26),Regras!$J$25,IF(Y26=Regras!F48,Regras!$J$26,0)))</f>
        <v/>
      </c>
      <c r="M26" s="495"/>
      <c r="N26" s="476"/>
      <c r="O26" s="438"/>
      <c r="P26" s="449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 x14ac:dyDescent="0.25">
      <c r="A27" s="60" t="s">
        <v>308</v>
      </c>
      <c r="B27" s="48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439" t="str">
        <f>IF(Copa2022!F35="","",Copa2022!F35)</f>
        <v/>
      </c>
      <c r="H27" s="439" t="str">
        <f>IF(Copa2022!G35="","",Copa2022!G35)</f>
        <v>x</v>
      </c>
      <c r="I27" s="439" t="str">
        <f>IF(Copa2022!H35="","",Copa2022!H35)</f>
        <v/>
      </c>
      <c r="J27" s="77" t="s">
        <v>8</v>
      </c>
      <c r="K27" s="52"/>
      <c r="L27" s="495" t="str">
        <f>IF(OR(Copa2022!F35="",G27=""),"",
IF(AND(Copa2022!F35=Placar!G27,Copa2022!H35=Placar!I27),Regras!$J$25,IF(Y27=Regras!F49,Regras!$J$26,0)))</f>
        <v/>
      </c>
      <c r="M27" s="495"/>
      <c r="N27" s="476"/>
      <c r="O27" s="502" t="s">
        <v>53</v>
      </c>
      <c r="P27" s="503"/>
      <c r="Q27" s="324" t="str">
        <f>IF(Copa2022!F40="","",IF(Copa2022!O36=Placar!P28,Regras!$J$27,0))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 thickBot="1" x14ac:dyDescent="0.25">
      <c r="A28" s="60" t="s">
        <v>309</v>
      </c>
      <c r="B28" s="485"/>
      <c r="C28" s="171">
        <v>44888</v>
      </c>
      <c r="D28" s="194" t="s">
        <v>134</v>
      </c>
      <c r="E28" s="172" t="s">
        <v>157</v>
      </c>
      <c r="F28" s="78" t="s">
        <v>11</v>
      </c>
      <c r="G28" s="439" t="str">
        <f>IF(Copa2022!F36="","",Copa2022!F36)</f>
        <v/>
      </c>
      <c r="H28" s="439" t="str">
        <f>IF(Copa2022!G36="","",Copa2022!G36)</f>
        <v>x</v>
      </c>
      <c r="I28" s="439" t="str">
        <f>IF(Copa2022!H36="","",Copa2022!H36)</f>
        <v/>
      </c>
      <c r="J28" s="81" t="s">
        <v>160</v>
      </c>
      <c r="K28" s="52"/>
      <c r="L28" s="495" t="str">
        <f>IF(OR(Copa2022!F36="",G28=""),"",
IF(AND(Copa2022!F36=Placar!G28,Copa2022!H36=Placar!I28),Regras!$J$25,IF(Y28=Regras!F50,Regras!$J$26,0)))</f>
        <v/>
      </c>
      <c r="M28" s="495"/>
      <c r="N28" s="476"/>
      <c r="O28" s="450">
        <v>1</v>
      </c>
      <c r="P28" s="449" t="s">
        <v>8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 x14ac:dyDescent="0.25">
      <c r="A29" s="60" t="s">
        <v>310</v>
      </c>
      <c r="B29" s="485"/>
      <c r="C29" s="171">
        <v>44892</v>
      </c>
      <c r="D29" s="194" t="s">
        <v>133</v>
      </c>
      <c r="E29" s="172" t="s">
        <v>162</v>
      </c>
      <c r="F29" s="78" t="s">
        <v>8</v>
      </c>
      <c r="G29" s="439" t="str">
        <f>IF(Copa2022!F37="","",Copa2022!F37)</f>
        <v/>
      </c>
      <c r="H29" s="439" t="str">
        <f>IF(Copa2022!G37="","",Copa2022!G37)</f>
        <v>x</v>
      </c>
      <c r="I29" s="439" t="str">
        <f>IF(Copa2022!H37="","",Copa2022!H37)</f>
        <v/>
      </c>
      <c r="J29" s="81" t="s">
        <v>160</v>
      </c>
      <c r="K29" s="52"/>
      <c r="L29" s="495" t="str">
        <f>IF(OR(Copa2022!F37="",G29=""),"",
IF(AND(Copa2022!F37=Placar!G29,Copa2022!H37=Placar!I29),Regras!$J$25,IF(Y29=Regras!F51,Regras!$J$26,0)))</f>
        <v/>
      </c>
      <c r="M29" s="495"/>
      <c r="N29" s="476"/>
      <c r="O29" s="453">
        <v>2</v>
      </c>
      <c r="P29" s="454" t="s">
        <v>7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 thickBot="1" x14ac:dyDescent="0.25">
      <c r="A30" s="60" t="s">
        <v>311</v>
      </c>
      <c r="B30" s="485"/>
      <c r="C30" s="171">
        <v>44892</v>
      </c>
      <c r="D30" s="194" t="s">
        <v>136</v>
      </c>
      <c r="E30" s="172" t="s">
        <v>161</v>
      </c>
      <c r="F30" s="78" t="s">
        <v>11</v>
      </c>
      <c r="G30" s="439" t="str">
        <f>IF(Copa2022!F38="","",Copa2022!F38)</f>
        <v/>
      </c>
      <c r="H30" s="439" t="str">
        <f>IF(Copa2022!G38="","",Copa2022!G38)</f>
        <v>x</v>
      </c>
      <c r="I30" s="439" t="str">
        <f>IF(Copa2022!H38="","",Copa2022!H38)</f>
        <v/>
      </c>
      <c r="J30" s="81" t="s">
        <v>7</v>
      </c>
      <c r="K30" s="52"/>
      <c r="L30" s="495" t="str">
        <f>IF(OR(Copa2022!F38="",G30=""),"",
IF(AND(Copa2022!F38=Placar!G30,Copa2022!H38=Placar!I30),Regras!$J$25,IF(Y30=Regras!F52,Regras!$J$26,0)))</f>
        <v/>
      </c>
      <c r="M30" s="495"/>
      <c r="N30" s="476"/>
      <c r="O30" s="450">
        <v>3</v>
      </c>
      <c r="P30" s="449" t="s">
        <v>11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 x14ac:dyDescent="0.25">
      <c r="A31" s="60" t="s">
        <v>312</v>
      </c>
      <c r="B31" s="485"/>
      <c r="C31" s="171">
        <v>44896</v>
      </c>
      <c r="D31" s="194" t="s">
        <v>136</v>
      </c>
      <c r="E31" s="172" t="s">
        <v>143</v>
      </c>
      <c r="F31" s="78" t="s">
        <v>8</v>
      </c>
      <c r="G31" s="439" t="str">
        <f>IF(Copa2022!F39="","",Copa2022!F39)</f>
        <v/>
      </c>
      <c r="H31" s="439" t="str">
        <f>IF(Copa2022!G39="","",Copa2022!G39)</f>
        <v>x</v>
      </c>
      <c r="I31" s="439" t="str">
        <f>IF(Copa2022!H39="","",Copa2022!H39)</f>
        <v/>
      </c>
      <c r="J31" s="81" t="s">
        <v>11</v>
      </c>
      <c r="K31" s="52"/>
      <c r="L31" s="495" t="str">
        <f>IF(OR(Copa2022!F39="",G31=""),"",
IF(AND(Copa2022!F39=Placar!G31,Copa2022!H39=Placar!I31),Regras!$J$25,IF(Y31=Regras!F53,Regras!$J$26,0)))</f>
        <v/>
      </c>
      <c r="M31" s="495"/>
      <c r="N31" s="476"/>
      <c r="O31" s="451">
        <v>4</v>
      </c>
      <c r="P31" s="452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 x14ac:dyDescent="0.25">
      <c r="A32" s="60" t="s">
        <v>313</v>
      </c>
      <c r="B32" s="486"/>
      <c r="C32" s="173">
        <v>44896</v>
      </c>
      <c r="D32" s="195" t="s">
        <v>136</v>
      </c>
      <c r="E32" s="174" t="s">
        <v>161</v>
      </c>
      <c r="F32" s="86" t="s">
        <v>160</v>
      </c>
      <c r="G32" s="439" t="str">
        <f>IF(Copa2022!F40="","",Copa2022!F40)</f>
        <v/>
      </c>
      <c r="H32" s="439" t="str">
        <f>IF(Copa2022!G40="","",Copa2022!G40)</f>
        <v>x</v>
      </c>
      <c r="I32" s="439" t="str">
        <f>IF(Copa2022!H40="","",Copa2022!H40)</f>
        <v/>
      </c>
      <c r="J32" s="89" t="s">
        <v>7</v>
      </c>
      <c r="K32" s="52"/>
      <c r="L32" s="495" t="str">
        <f>IF(OR(Copa2022!F40="",G32=""),"",
IF(AND(Copa2022!F40=Placar!G32,Copa2022!H40=Placar!I32),Regras!$J$25,IF(Y32=Regras!F54,Regras!$J$26,0)))</f>
        <v/>
      </c>
      <c r="M32" s="495"/>
      <c r="N32" s="476"/>
      <c r="O32" s="438"/>
      <c r="P32" s="449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 x14ac:dyDescent="0.25">
      <c r="A33" s="60" t="s">
        <v>314</v>
      </c>
      <c r="B33" s="48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439" t="str">
        <f>IF(Copa2022!F41="","",Copa2022!F41)</f>
        <v/>
      </c>
      <c r="H33" s="439" t="str">
        <f>IF(Copa2022!G41="","",Copa2022!G41)</f>
        <v>x</v>
      </c>
      <c r="I33" s="439" t="str">
        <f>IF(Copa2022!H41="","",Copa2022!H41)</f>
        <v/>
      </c>
      <c r="J33" s="85" t="s">
        <v>70</v>
      </c>
      <c r="K33" s="52"/>
      <c r="L33" s="495" t="str">
        <f>IF(OR(Copa2022!F41="",G33=""),"",
IF(AND(Copa2022!F41=Placar!G33,Copa2022!H41=Placar!I33),Regras!$J$25,IF(Y33=Regras!F55,Regras!$J$26,0)))</f>
        <v/>
      </c>
      <c r="M33" s="495"/>
      <c r="N33" s="476"/>
      <c r="O33" s="502" t="s">
        <v>56</v>
      </c>
      <c r="P33" s="503"/>
      <c r="Q33" s="324" t="str">
        <f>IF(Copa2022!F46="","",IF(Copa2022!O42=Placar!P34,Regras!$J$27,0))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/>
      </c>
    </row>
    <row r="34" spans="1:25" s="60" customFormat="1" ht="35.1" customHeight="1" thickBot="1" x14ac:dyDescent="0.25">
      <c r="A34" s="60" t="s">
        <v>315</v>
      </c>
      <c r="B34" s="485"/>
      <c r="C34" s="171">
        <v>44888</v>
      </c>
      <c r="D34" s="194" t="s">
        <v>136</v>
      </c>
      <c r="E34" s="177" t="s">
        <v>162</v>
      </c>
      <c r="F34" s="78" t="s">
        <v>104</v>
      </c>
      <c r="G34" s="439" t="str">
        <f>IF(Copa2022!F42="","",Copa2022!F42)</f>
        <v/>
      </c>
      <c r="H34" s="439" t="str">
        <f>IF(Copa2022!G42="","",Copa2022!G42)</f>
        <v>x</v>
      </c>
      <c r="I34" s="439" t="str">
        <f>IF(Copa2022!H42="","",Copa2022!H42)</f>
        <v/>
      </c>
      <c r="J34" s="81" t="s">
        <v>150</v>
      </c>
      <c r="K34" s="52"/>
      <c r="L34" s="495" t="str">
        <f>IF(OR(Copa2022!F42="",G34=""),"",
IF(AND(Copa2022!F42=Placar!G34,Copa2022!H42=Placar!I34),Regras!$J$25,IF(Y34=Regras!F56,Regras!$J$26,0)))</f>
        <v/>
      </c>
      <c r="M34" s="495"/>
      <c r="N34" s="476"/>
      <c r="O34" s="450">
        <v>1</v>
      </c>
      <c r="P34" s="449" t="s">
        <v>70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 x14ac:dyDescent="0.25">
      <c r="A35" s="60" t="s">
        <v>316</v>
      </c>
      <c r="B35" s="485"/>
      <c r="C35" s="171">
        <v>44892</v>
      </c>
      <c r="D35" s="194" t="s">
        <v>135</v>
      </c>
      <c r="E35" s="177" t="s">
        <v>157</v>
      </c>
      <c r="F35" s="78" t="s">
        <v>104</v>
      </c>
      <c r="G35" s="439" t="str">
        <f>IF(Copa2022!F43="","",Copa2022!F43)</f>
        <v/>
      </c>
      <c r="H35" s="439" t="str">
        <f>IF(Copa2022!G43="","",Copa2022!G43)</f>
        <v>x</v>
      </c>
      <c r="I35" s="439" t="str">
        <f>IF(Copa2022!H43="","",Copa2022!H43)</f>
        <v/>
      </c>
      <c r="J35" s="81" t="s">
        <v>126</v>
      </c>
      <c r="K35" s="52"/>
      <c r="L35" s="495" t="str">
        <f>IF(OR(Copa2022!F43="",G35=""),"",
IF(AND(Copa2022!F43=Placar!G35,Copa2022!H43=Placar!I35),Regras!$J$25,IF(Y35=Regras!F57,Regras!$J$26,0)))</f>
        <v/>
      </c>
      <c r="M35" s="495"/>
      <c r="N35" s="476"/>
      <c r="O35" s="453">
        <v>2</v>
      </c>
      <c r="P35" s="454" t="s">
        <v>104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 thickBot="1" x14ac:dyDescent="0.25">
      <c r="A36" s="60" t="s">
        <v>317</v>
      </c>
      <c r="B36" s="485"/>
      <c r="C36" s="171">
        <v>44892</v>
      </c>
      <c r="D36" s="194" t="s">
        <v>134</v>
      </c>
      <c r="E36" s="177" t="s">
        <v>143</v>
      </c>
      <c r="F36" s="78" t="s">
        <v>70</v>
      </c>
      <c r="G36" s="439" t="str">
        <f>IF(Copa2022!F44="","",Copa2022!F44)</f>
        <v/>
      </c>
      <c r="H36" s="439" t="str">
        <f>IF(Copa2022!G44="","",Copa2022!G44)</f>
        <v>x</v>
      </c>
      <c r="I36" s="439" t="str">
        <f>IF(Copa2022!H44="","",Copa2022!H44)</f>
        <v/>
      </c>
      <c r="J36" s="81" t="s">
        <v>150</v>
      </c>
      <c r="K36" s="52"/>
      <c r="L36" s="495" t="str">
        <f>IF(OR(Copa2022!F44="",G36=""),"",
IF(AND(Copa2022!F44=Placar!G36,Copa2022!H44=Placar!I36),Regras!$J$25,IF(Y36=Regras!F58,Regras!$J$26,0)))</f>
        <v/>
      </c>
      <c r="M36" s="495"/>
      <c r="N36" s="476"/>
      <c r="O36" s="450">
        <v>3</v>
      </c>
      <c r="P36" s="449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 x14ac:dyDescent="0.25">
      <c r="A37" s="60" t="s">
        <v>318</v>
      </c>
      <c r="B37" s="485"/>
      <c r="C37" s="171">
        <v>44896</v>
      </c>
      <c r="D37" s="194" t="s">
        <v>132</v>
      </c>
      <c r="E37" s="177" t="s">
        <v>162</v>
      </c>
      <c r="F37" s="78" t="s">
        <v>70</v>
      </c>
      <c r="G37" s="439" t="str">
        <f>IF(Copa2022!F45="","",Copa2022!F45)</f>
        <v/>
      </c>
      <c r="H37" s="439" t="str">
        <f>IF(Copa2022!G45="","",Copa2022!G45)</f>
        <v>x</v>
      </c>
      <c r="I37" s="439" t="str">
        <f>IF(Copa2022!H45="","",Copa2022!H45)</f>
        <v/>
      </c>
      <c r="J37" s="81" t="s">
        <v>104</v>
      </c>
      <c r="K37" s="52"/>
      <c r="L37" s="495" t="str">
        <f>IF(OR(Copa2022!F45="",G37=""),"",
IF(AND(Copa2022!F45=Placar!G37,Copa2022!H45=Placar!I37),Regras!$J$25,IF(Y37=Regras!F59,Regras!$J$26,0)))</f>
        <v/>
      </c>
      <c r="M37" s="495"/>
      <c r="N37" s="476"/>
      <c r="O37" s="451">
        <v>4</v>
      </c>
      <c r="P37" s="452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 x14ac:dyDescent="0.25">
      <c r="A38" s="60" t="s">
        <v>319</v>
      </c>
      <c r="B38" s="486"/>
      <c r="C38" s="173">
        <v>44896</v>
      </c>
      <c r="D38" s="195" t="s">
        <v>132</v>
      </c>
      <c r="E38" s="178" t="s">
        <v>157</v>
      </c>
      <c r="F38" s="90" t="s">
        <v>150</v>
      </c>
      <c r="G38" s="439" t="str">
        <f>IF(Copa2022!F46="","",Copa2022!F46)</f>
        <v/>
      </c>
      <c r="H38" s="439" t="str">
        <f>IF(Copa2022!G46="","",Copa2022!G46)</f>
        <v>x</v>
      </c>
      <c r="I38" s="439" t="str">
        <f>IF(Copa2022!H46="","",Copa2022!H46)</f>
        <v/>
      </c>
      <c r="J38" s="93" t="s">
        <v>126</v>
      </c>
      <c r="K38" s="52"/>
      <c r="L38" s="495" t="str">
        <f>IF(OR(Copa2022!F46="",G38=""),"",
IF(AND(Copa2022!F46=Placar!G38,Copa2022!H46=Placar!I38),Regras!$J$25,IF(Y38=Regras!F60,Regras!$J$26,0)))</f>
        <v/>
      </c>
      <c r="M38" s="495"/>
      <c r="N38" s="476"/>
      <c r="O38" s="438"/>
      <c r="P38" s="449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 x14ac:dyDescent="0.25">
      <c r="A39" s="60" t="s">
        <v>320</v>
      </c>
      <c r="B39" s="48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439" t="str">
        <f>IF(Copa2022!F47="","",Copa2022!F47)</f>
        <v/>
      </c>
      <c r="H39" s="439" t="str">
        <f>IF(Copa2022!G47="","",Copa2022!G47)</f>
        <v>x</v>
      </c>
      <c r="I39" s="439" t="str">
        <f>IF(Copa2022!H47="","",Copa2022!H47)</f>
        <v/>
      </c>
      <c r="J39" s="77" t="s">
        <v>151</v>
      </c>
      <c r="K39" s="52"/>
      <c r="L39" s="495" t="str">
        <f>IF(OR(Copa2022!F47="",G39=""),"",
IF(AND(Copa2022!F47=Placar!G39,Copa2022!H47=Placar!I39),Regras!$J$25,IF(Y39=Regras!F61,Regras!$J$26,0)))</f>
        <v/>
      </c>
      <c r="M39" s="495"/>
      <c r="N39" s="476"/>
      <c r="O39" s="502" t="s">
        <v>58</v>
      </c>
      <c r="P39" s="503"/>
      <c r="Q39" s="324" t="str">
        <f>IF(Copa2022!F52="","",IF(Copa2022!O48=Placar!P40,Regras!$J$27,0))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 thickBot="1" x14ac:dyDescent="0.25">
      <c r="A40" s="60" t="s">
        <v>321</v>
      </c>
      <c r="B40" s="485"/>
      <c r="C40" s="171">
        <v>44889</v>
      </c>
      <c r="D40" s="194" t="s">
        <v>136</v>
      </c>
      <c r="E40" s="172" t="s">
        <v>146</v>
      </c>
      <c r="F40" s="78" t="s">
        <v>10</v>
      </c>
      <c r="G40" s="439" t="str">
        <f>IF(Copa2022!F48="","",Copa2022!F48)</f>
        <v/>
      </c>
      <c r="H40" s="439" t="str">
        <f>IF(Copa2022!G48="","",Copa2022!G48)</f>
        <v>x</v>
      </c>
      <c r="I40" s="439" t="str">
        <f>IF(Copa2022!H48="","",Copa2022!H48)</f>
        <v/>
      </c>
      <c r="J40" s="81" t="s">
        <v>128</v>
      </c>
      <c r="K40" s="52"/>
      <c r="L40" s="495" t="str">
        <f>IF(OR(Copa2022!F48="",G40=""),"",
IF(AND(Copa2022!F48=Placar!G40,Copa2022!H48=Placar!I40),Regras!$J$25,IF(Y40=Regras!F62,Regras!$J$26,0)))</f>
        <v/>
      </c>
      <c r="M40" s="495"/>
      <c r="N40" s="476"/>
      <c r="O40" s="455">
        <v>1</v>
      </c>
      <c r="P40" s="456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 x14ac:dyDescent="0.25">
      <c r="A41" s="60" t="s">
        <v>322</v>
      </c>
      <c r="B41" s="485"/>
      <c r="C41" s="171">
        <v>44893</v>
      </c>
      <c r="D41" s="194" t="s">
        <v>133</v>
      </c>
      <c r="E41" s="172" t="s">
        <v>164</v>
      </c>
      <c r="F41" s="78" t="s">
        <v>151</v>
      </c>
      <c r="G41" s="439" t="str">
        <f>IF(Copa2022!F49="","",Copa2022!F49)</f>
        <v/>
      </c>
      <c r="H41" s="439" t="str">
        <f>IF(Copa2022!G49="","",Copa2022!G49)</f>
        <v>x</v>
      </c>
      <c r="I41" s="439" t="str">
        <f>IF(Copa2022!H49="","",Copa2022!H49)</f>
        <v/>
      </c>
      <c r="J41" s="81" t="s">
        <v>128</v>
      </c>
      <c r="K41" s="52"/>
      <c r="L41" s="495" t="str">
        <f>IF(OR(Copa2022!F49="",G41=""),"",
IF(AND(Copa2022!F49=Placar!G41,Copa2022!H49=Placar!I41),Regras!$J$25,IF(Y41=Regras!F63,Regras!$J$26,0)))</f>
        <v/>
      </c>
      <c r="M41" s="495"/>
      <c r="N41" s="476"/>
      <c r="O41" s="453">
        <v>2</v>
      </c>
      <c r="P41" s="454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 thickBot="1" x14ac:dyDescent="0.25">
      <c r="A42" s="60" t="s">
        <v>323</v>
      </c>
      <c r="B42" s="485"/>
      <c r="C42" s="171">
        <v>44893</v>
      </c>
      <c r="D42" s="194" t="s">
        <v>134</v>
      </c>
      <c r="E42" s="172" t="s">
        <v>163</v>
      </c>
      <c r="F42" s="78" t="s">
        <v>10</v>
      </c>
      <c r="G42" s="439" t="str">
        <f>IF(Copa2022!F50="","",Copa2022!F50)</f>
        <v/>
      </c>
      <c r="H42" s="439" t="str">
        <f>IF(Copa2022!G50="","",Copa2022!G50)</f>
        <v>x</v>
      </c>
      <c r="I42" s="439" t="str">
        <f>IF(Copa2022!H50="","",Copa2022!H50)</f>
        <v/>
      </c>
      <c r="J42" s="81" t="s">
        <v>12</v>
      </c>
      <c r="K42" s="52"/>
      <c r="L42" s="495" t="str">
        <f>IF(OR(Copa2022!F50="",G42=""),"",
IF(AND(Copa2022!F50=Placar!G42,Copa2022!H50=Placar!I42),Regras!$J$25,IF(Y42=Regras!F64,Regras!$J$26,0)))</f>
        <v/>
      </c>
      <c r="M42" s="495"/>
      <c r="N42" s="476"/>
      <c r="O42" s="450">
        <v>3</v>
      </c>
      <c r="P42" s="449" t="s">
        <v>128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 x14ac:dyDescent="0.25">
      <c r="A43" s="60" t="s">
        <v>324</v>
      </c>
      <c r="B43" s="485"/>
      <c r="C43" s="171">
        <v>44897</v>
      </c>
      <c r="D43" s="194" t="s">
        <v>136</v>
      </c>
      <c r="E43" s="172" t="s">
        <v>146</v>
      </c>
      <c r="F43" s="78" t="s">
        <v>151</v>
      </c>
      <c r="G43" s="439" t="str">
        <f>IF(Copa2022!F51="","",Copa2022!F51)</f>
        <v/>
      </c>
      <c r="H43" s="439" t="str">
        <f>IF(Copa2022!G51="","",Copa2022!G51)</f>
        <v>x</v>
      </c>
      <c r="I43" s="439" t="str">
        <f>IF(Copa2022!H51="","",Copa2022!H51)</f>
        <v/>
      </c>
      <c r="J43" s="81" t="s">
        <v>10</v>
      </c>
      <c r="K43" s="52"/>
      <c r="L43" s="495" t="str">
        <f>IF(OR(Copa2022!F51="",G43=""),"",
IF(AND(Copa2022!F51=Placar!G43,Copa2022!H51=Placar!I43),Regras!$J$25,IF(Y43=Regras!F65,Regras!$J$26,0)))</f>
        <v/>
      </c>
      <c r="M43" s="495"/>
      <c r="N43" s="476"/>
      <c r="O43" s="451">
        <v>4</v>
      </c>
      <c r="P43" s="452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 x14ac:dyDescent="0.25">
      <c r="A44" s="60" t="s">
        <v>325</v>
      </c>
      <c r="B44" s="486"/>
      <c r="C44" s="173">
        <v>44897</v>
      </c>
      <c r="D44" s="195" t="s">
        <v>136</v>
      </c>
      <c r="E44" s="174" t="s">
        <v>163</v>
      </c>
      <c r="F44" s="86" t="s">
        <v>128</v>
      </c>
      <c r="G44" s="439" t="str">
        <f>IF(Copa2022!F52="","",Copa2022!F52)</f>
        <v/>
      </c>
      <c r="H44" s="439" t="str">
        <f>IF(Copa2022!G52="","",Copa2022!G52)</f>
        <v>x</v>
      </c>
      <c r="I44" s="439" t="str">
        <f>IF(Copa2022!H52="","",Copa2022!H52)</f>
        <v/>
      </c>
      <c r="J44" s="89" t="s">
        <v>12</v>
      </c>
      <c r="K44" s="52"/>
      <c r="L44" s="495" t="str">
        <f>IF(OR(Copa2022!F52="",G44=""),"",
IF(AND(Copa2022!F52=Placar!G44,Copa2022!H52=Placar!I44),Regras!$J$25,IF(Y44=Regras!F66,Regras!$J$26,0)))</f>
        <v/>
      </c>
      <c r="M44" s="495"/>
      <c r="N44" s="476"/>
      <c r="O44" s="438"/>
      <c r="P44" s="449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 x14ac:dyDescent="0.25">
      <c r="A45" s="60" t="s">
        <v>326</v>
      </c>
      <c r="B45" s="48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439" t="str">
        <f>IF(Copa2022!F53="","",Copa2022!F53)</f>
        <v/>
      </c>
      <c r="H45" s="439" t="str">
        <f>IF(Copa2022!G53="","",Copa2022!G53)</f>
        <v>x</v>
      </c>
      <c r="I45" s="439" t="str">
        <f>IF(Copa2022!H53="","",Copa2022!H53)</f>
        <v/>
      </c>
      <c r="J45" s="85" t="s">
        <v>5</v>
      </c>
      <c r="K45" s="52"/>
      <c r="L45" s="495" t="str">
        <f>IF(OR(Copa2022!F53="",G45=""),"",
IF(AND(Copa2022!F53=Placar!G45,Copa2022!H53=Placar!I45),Regras!$J$25,IF(Y45=Regras!F67,Regras!$J$26,0)))</f>
        <v/>
      </c>
      <c r="M45" s="495"/>
      <c r="N45" s="476"/>
      <c r="O45" s="502" t="s">
        <v>59</v>
      </c>
      <c r="P45" s="503"/>
      <c r="Q45" s="324" t="str">
        <f>IF(Copa2022!F58="","",IF(Copa2022!O54=Placar!P46,Regras!$J$27,0))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 thickBot="1" x14ac:dyDescent="0.25">
      <c r="A46" s="60" t="s">
        <v>327</v>
      </c>
      <c r="B46" s="485"/>
      <c r="C46" s="171">
        <v>44889</v>
      </c>
      <c r="D46" s="194" t="s">
        <v>134</v>
      </c>
      <c r="E46" s="177" t="s">
        <v>163</v>
      </c>
      <c r="F46" s="78" t="s">
        <v>9</v>
      </c>
      <c r="G46" s="439" t="str">
        <f>IF(Copa2022!F54="","",Copa2022!F54)</f>
        <v/>
      </c>
      <c r="H46" s="439" t="str">
        <f>IF(Copa2022!G54="","",Copa2022!G54)</f>
        <v>x</v>
      </c>
      <c r="I46" s="439" t="str">
        <f>IF(Copa2022!H54="","",Copa2022!H54)</f>
        <v/>
      </c>
      <c r="J46" s="81" t="s">
        <v>152</v>
      </c>
      <c r="K46" s="52"/>
      <c r="L46" s="495" t="str">
        <f>IF(OR(Copa2022!F54="",G46=""),"",
IF(AND(Copa2022!F54=Placar!G46,Copa2022!H54=Placar!I46),Regras!$J$25,IF(Y46=Regras!F68,Regras!$J$26,0)))</f>
        <v/>
      </c>
      <c r="M46" s="495"/>
      <c r="N46" s="476"/>
      <c r="O46" s="450">
        <v>1</v>
      </c>
      <c r="P46" s="449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 x14ac:dyDescent="0.25">
      <c r="A47" s="60" t="s">
        <v>328</v>
      </c>
      <c r="B47" s="485"/>
      <c r="C47" s="171">
        <v>44893</v>
      </c>
      <c r="D47" s="194" t="s">
        <v>135</v>
      </c>
      <c r="E47" s="177" t="s">
        <v>148</v>
      </c>
      <c r="F47" s="78" t="s">
        <v>5</v>
      </c>
      <c r="G47" s="439" t="str">
        <f>IF(Copa2022!F55="","",Copa2022!F55)</f>
        <v/>
      </c>
      <c r="H47" s="439" t="str">
        <f>IF(Copa2022!G55="","",Copa2022!G55)</f>
        <v>x</v>
      </c>
      <c r="I47" s="439" t="str">
        <f>IF(Copa2022!H55="","",Copa2022!H55)</f>
        <v/>
      </c>
      <c r="J47" s="81" t="s">
        <v>152</v>
      </c>
      <c r="K47" s="52"/>
      <c r="L47" s="495" t="str">
        <f>IF(OR(Copa2022!F55="",G47=""),"",
IF(AND(Copa2022!F55=Placar!G47,Copa2022!H55=Placar!I47),Regras!$J$25,IF(Y47=Regras!F69,Regras!$J$26,0)))</f>
        <v/>
      </c>
      <c r="M47" s="495"/>
      <c r="N47" s="476"/>
      <c r="O47" s="453">
        <v>2</v>
      </c>
      <c r="P47" s="454" t="s">
        <v>5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 thickBot="1" x14ac:dyDescent="0.25">
      <c r="A48" s="60" t="s">
        <v>329</v>
      </c>
      <c r="B48" s="485"/>
      <c r="C48" s="171">
        <v>44893</v>
      </c>
      <c r="D48" s="194" t="s">
        <v>136</v>
      </c>
      <c r="E48" s="177" t="s">
        <v>146</v>
      </c>
      <c r="F48" s="78" t="s">
        <v>9</v>
      </c>
      <c r="G48" s="439" t="str">
        <f>IF(Copa2022!F56="","",Copa2022!F56)</f>
        <v/>
      </c>
      <c r="H48" s="439" t="str">
        <f>IF(Copa2022!G56="","",Copa2022!G56)</f>
        <v>x</v>
      </c>
      <c r="I48" s="439" t="str">
        <f>IF(Copa2022!H56="","",Copa2022!H56)</f>
        <v/>
      </c>
      <c r="J48" s="81" t="s">
        <v>2</v>
      </c>
      <c r="K48" s="52"/>
      <c r="L48" s="495" t="str">
        <f>IF(OR(Copa2022!F56="",G48=""),"",
IF(AND(Copa2022!F56=Placar!G48,Copa2022!H56=Placar!I48),Regras!$J$25,IF(Y48=Regras!F70,Regras!$J$26,0)))</f>
        <v/>
      </c>
      <c r="M48" s="495"/>
      <c r="N48" s="476"/>
      <c r="O48" s="450">
        <v>3</v>
      </c>
      <c r="P48" s="449" t="s">
        <v>9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 x14ac:dyDescent="0.25">
      <c r="A49" s="60" t="s">
        <v>330</v>
      </c>
      <c r="B49" s="485"/>
      <c r="C49" s="171">
        <v>44897</v>
      </c>
      <c r="D49" s="194" t="s">
        <v>132</v>
      </c>
      <c r="E49" s="177" t="s">
        <v>148</v>
      </c>
      <c r="F49" s="78" t="s">
        <v>5</v>
      </c>
      <c r="G49" s="439" t="str">
        <f>IF(Copa2022!F57="","",Copa2022!F57)</f>
        <v/>
      </c>
      <c r="H49" s="439" t="str">
        <f>IF(Copa2022!G57="","",Copa2022!G57)</f>
        <v>x</v>
      </c>
      <c r="I49" s="439" t="str">
        <f>IF(Copa2022!H57="","",Copa2022!H57)</f>
        <v/>
      </c>
      <c r="J49" s="81" t="s">
        <v>9</v>
      </c>
      <c r="K49" s="52"/>
      <c r="L49" s="495" t="str">
        <f>IF(OR(Copa2022!F57="",G49=""),"",
IF(AND(Copa2022!F57=Placar!G49,Copa2022!H57=Placar!I49),Regras!$J$25,IF(Y49=Regras!F71,Regras!$J$26,0)))</f>
        <v/>
      </c>
      <c r="M49" s="495"/>
      <c r="N49" s="476"/>
      <c r="O49" s="451">
        <v>4</v>
      </c>
      <c r="P49" s="452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 x14ac:dyDescent="0.25">
      <c r="A50" s="477" t="s">
        <v>331</v>
      </c>
      <c r="B50" s="486"/>
      <c r="C50" s="173">
        <v>44897</v>
      </c>
      <c r="D50" s="195" t="s">
        <v>132</v>
      </c>
      <c r="E50" s="178" t="s">
        <v>164</v>
      </c>
      <c r="F50" s="19" t="s">
        <v>152</v>
      </c>
      <c r="G50" s="439" t="str">
        <f>IF(Copa2022!F58="","",Copa2022!F58)</f>
        <v/>
      </c>
      <c r="H50" s="439" t="str">
        <f>IF(Copa2022!G58="","",Copa2022!G58)</f>
        <v>x</v>
      </c>
      <c r="I50" s="439" t="str">
        <f>IF(Copa2022!H58="","",Copa2022!H58)</f>
        <v/>
      </c>
      <c r="J50" s="130" t="s">
        <v>2</v>
      </c>
      <c r="K50" s="52"/>
      <c r="L50" s="495" t="str">
        <f>IF(OR(Copa2022!F58="",G50=""),"",
IF(AND(Copa2022!F58=Placar!G50,Copa2022!H58=Placar!I50),Regras!$J$25,IF(Y50=Regras!F72,Regras!$J$26,0)))</f>
        <v/>
      </c>
      <c r="M50" s="495"/>
      <c r="N50" s="476"/>
      <c r="O50" s="438"/>
      <c r="P50" s="449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71" spans="2:25" s="9" customFormat="1" ht="15.75" hidden="1" x14ac:dyDescent="0.2">
      <c r="B71" s="7"/>
      <c r="C71" s="13"/>
      <c r="D71" s="13"/>
      <c r="E71" s="13"/>
      <c r="F71" s="14"/>
      <c r="G71" s="43"/>
      <c r="I71" s="43"/>
      <c r="J71" s="15"/>
      <c r="K71" s="54"/>
      <c r="N71" s="8"/>
      <c r="O71" s="110"/>
      <c r="P71" s="114"/>
      <c r="Q71" s="322"/>
      <c r="R71" s="322"/>
      <c r="S71" s="322"/>
      <c r="T71" s="322"/>
      <c r="U71" s="322"/>
      <c r="V71" s="322"/>
      <c r="W71" s="322"/>
      <c r="X71" s="322"/>
      <c r="Y71" s="8"/>
    </row>
  </sheetData>
  <mergeCells count="70">
    <mergeCell ref="B45:B50"/>
    <mergeCell ref="L45:M45"/>
    <mergeCell ref="O45:P45"/>
    <mergeCell ref="L46:M46"/>
    <mergeCell ref="L47:M47"/>
    <mergeCell ref="L48:M48"/>
    <mergeCell ref="L49:M49"/>
    <mergeCell ref="L50:M50"/>
    <mergeCell ref="B39:B44"/>
    <mergeCell ref="L39:M39"/>
    <mergeCell ref="O39:P39"/>
    <mergeCell ref="L40:M40"/>
    <mergeCell ref="L41:M41"/>
    <mergeCell ref="L42:M42"/>
    <mergeCell ref="L43:M43"/>
    <mergeCell ref="L44:M44"/>
    <mergeCell ref="B33:B38"/>
    <mergeCell ref="L33:M33"/>
    <mergeCell ref="O33:P33"/>
    <mergeCell ref="L34:M34"/>
    <mergeCell ref="L35:M35"/>
    <mergeCell ref="L36:M36"/>
    <mergeCell ref="L37:M37"/>
    <mergeCell ref="L38:M38"/>
    <mergeCell ref="B27:B32"/>
    <mergeCell ref="L27:M27"/>
    <mergeCell ref="O27:P27"/>
    <mergeCell ref="L28:M28"/>
    <mergeCell ref="L29:M29"/>
    <mergeCell ref="L30:M30"/>
    <mergeCell ref="L31:M31"/>
    <mergeCell ref="L32:M32"/>
    <mergeCell ref="B21:B26"/>
    <mergeCell ref="L21:M21"/>
    <mergeCell ref="O21:P21"/>
    <mergeCell ref="L22:M22"/>
    <mergeCell ref="L23:M23"/>
    <mergeCell ref="L24:M24"/>
    <mergeCell ref="L25:M25"/>
    <mergeCell ref="L26:M26"/>
    <mergeCell ref="B15:B20"/>
    <mergeCell ref="L15:M15"/>
    <mergeCell ref="O15:P15"/>
    <mergeCell ref="L16:M16"/>
    <mergeCell ref="L17:M17"/>
    <mergeCell ref="L18:M18"/>
    <mergeCell ref="L19:M19"/>
    <mergeCell ref="L20:M20"/>
    <mergeCell ref="B9:B14"/>
    <mergeCell ref="L9:M9"/>
    <mergeCell ref="O9:P9"/>
    <mergeCell ref="L10:M10"/>
    <mergeCell ref="L11:M11"/>
    <mergeCell ref="L12:M12"/>
    <mergeCell ref="L13:M13"/>
    <mergeCell ref="L14:M14"/>
    <mergeCell ref="B3:B8"/>
    <mergeCell ref="L3:M3"/>
    <mergeCell ref="O3:P3"/>
    <mergeCell ref="L4:M4"/>
    <mergeCell ref="L5:M5"/>
    <mergeCell ref="L6:M6"/>
    <mergeCell ref="L7:M7"/>
    <mergeCell ref="L8:M8"/>
    <mergeCell ref="L2:M2"/>
    <mergeCell ref="B1:B2"/>
    <mergeCell ref="C1:C2"/>
    <mergeCell ref="D1:D2"/>
    <mergeCell ref="E1:E2"/>
    <mergeCell ref="F1:J2"/>
  </mergeCells>
  <conditionalFormatting sqref="O5:X5 O4 Q4:X4">
    <cfRule type="expression" dxfId="873" priority="10">
      <formula>$R$8=12</formula>
    </cfRule>
  </conditionalFormatting>
  <conditionalFormatting sqref="O10:X11">
    <cfRule type="expression" dxfId="872" priority="9">
      <formula>$R$14=12</formula>
    </cfRule>
  </conditionalFormatting>
  <conditionalFormatting sqref="O16:X17">
    <cfRule type="expression" dxfId="871" priority="8">
      <formula>$R$20=12</formula>
    </cfRule>
  </conditionalFormatting>
  <conditionalFormatting sqref="O22:X23">
    <cfRule type="expression" dxfId="870" priority="7">
      <formula>$R$26=12</formula>
    </cfRule>
  </conditionalFormatting>
  <conditionalFormatting sqref="O28:X29">
    <cfRule type="expression" dxfId="869" priority="6">
      <formula>$R$32=12</formula>
    </cfRule>
  </conditionalFormatting>
  <conditionalFormatting sqref="O34:X35">
    <cfRule type="expression" dxfId="868" priority="5">
      <formula>$R$38=12</formula>
    </cfRule>
  </conditionalFormatting>
  <conditionalFormatting sqref="O40:X41">
    <cfRule type="expression" dxfId="867" priority="4">
      <formula>$R$44=12</formula>
    </cfRule>
  </conditionalFormatting>
  <conditionalFormatting sqref="O46:X47">
    <cfRule type="expression" dxfId="866" priority="3">
      <formula>$R$50=12</formula>
    </cfRule>
  </conditionalFormatting>
  <conditionalFormatting sqref="B45 B9 B15 B21 B27 B33 B3 F3:F50 J3:J50">
    <cfRule type="cellIs" dxfId="865" priority="44" stopIfTrue="1" operator="equal">
      <formula>#REF!</formula>
    </cfRule>
  </conditionalFormatting>
  <conditionalFormatting sqref="B39">
    <cfRule type="cellIs" dxfId="864" priority="2" stopIfTrue="1" operator="equal">
      <formula>#REF!</formula>
    </cfRule>
  </conditionalFormatting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HW117"/>
  <sheetViews>
    <sheetView topLeftCell="A17" workbookViewId="0">
      <selection activeCell="C3" sqref="C3:C50"/>
    </sheetView>
  </sheetViews>
  <sheetFormatPr defaultColWidth="0" defaultRowHeight="0" customHeight="1" zeroHeight="1" x14ac:dyDescent="0.2"/>
  <cols>
    <col min="1" max="1" width="6.3203125" customWidth="1"/>
    <col min="2" max="2" width="6.05078125" style="5" bestFit="1" customWidth="1"/>
    <col min="3" max="3" width="9.81640625" style="10" bestFit="1" customWidth="1"/>
    <col min="4" max="4" width="5.24609375" style="10" bestFit="1" customWidth="1"/>
    <col min="5" max="5" width="17.75390625" style="10" bestFit="1" customWidth="1"/>
    <col min="6" max="6" width="25.69140625" style="11" customWidth="1"/>
    <col min="7" max="7" width="2.6875" style="42" customWidth="1"/>
    <col min="8" max="8" width="2.6875" customWidth="1"/>
    <col min="9" max="9" width="2.6875" style="42" customWidth="1"/>
    <col min="10" max="10" width="25.69140625" style="12" customWidth="1"/>
    <col min="11" max="11" width="13.31640625" style="51" hidden="1" customWidth="1"/>
    <col min="12" max="13" width="3.2265625" customWidth="1"/>
    <col min="14" max="14" width="2.82421875" style="1" customWidth="1"/>
    <col min="15" max="15" width="2.015625" style="109" bestFit="1" customWidth="1"/>
    <col min="16" max="16" width="26.09765625" style="113" customWidth="1"/>
    <col min="17" max="17" width="4.70703125" style="322" customWidth="1"/>
    <col min="18" max="18" width="3.765625" style="322" customWidth="1"/>
    <col min="19" max="19" width="1.8828125" style="322" customWidth="1"/>
    <col min="20" max="20" width="2.28515625" style="322" customWidth="1"/>
    <col min="21" max="21" width="3.765625" style="322" customWidth="1"/>
    <col min="22" max="22" width="2.015625" style="322" customWidth="1"/>
    <col min="23" max="24" width="3.765625" style="322" hidden="1" customWidth="1"/>
    <col min="25" max="25" width="12.9140625" style="1" customWidth="1"/>
    <col min="26" max="36" width="9.14453125" hidden="1" customWidth="1"/>
    <col min="37" max="37" width="8.47265625" hidden="1" customWidth="1"/>
    <col min="38" max="38" width="8.7421875" hidden="1" customWidth="1"/>
    <col min="39" max="39" width="10.0859375" hidden="1" customWidth="1"/>
    <col min="40" max="230" width="9.14453125" hidden="1" customWidth="1"/>
    <col min="231" max="231" width="7.26171875" hidden="1" customWidth="1"/>
    <col min="232" max="16384" width="9.14453125" hidden="1"/>
  </cols>
  <sheetData>
    <row r="1" spans="1:25" s="58" customFormat="1" ht="15" customHeight="1" x14ac:dyDescent="0.2">
      <c r="B1" s="496" t="s">
        <v>94</v>
      </c>
      <c r="C1" s="498" t="s">
        <v>95</v>
      </c>
      <c r="D1" s="498" t="s">
        <v>74</v>
      </c>
      <c r="E1" s="500" t="s">
        <v>75</v>
      </c>
      <c r="F1" s="487" t="s">
        <v>96</v>
      </c>
      <c r="G1" s="488"/>
      <c r="H1" s="488"/>
      <c r="I1" s="488"/>
      <c r="J1" s="489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 x14ac:dyDescent="0.25">
      <c r="B2" s="497"/>
      <c r="C2" s="499"/>
      <c r="D2" s="499"/>
      <c r="E2" s="501"/>
      <c r="F2" s="490"/>
      <c r="G2" s="491"/>
      <c r="H2" s="491"/>
      <c r="I2" s="491"/>
      <c r="J2" s="492"/>
      <c r="K2" s="51"/>
      <c r="L2" s="493"/>
      <c r="M2" s="494"/>
      <c r="N2" s="315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 x14ac:dyDescent="0.25">
      <c r="A3" s="60" t="s">
        <v>284</v>
      </c>
      <c r="B3" s="48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55">
        <v>2</v>
      </c>
      <c r="H3" s="356" t="s">
        <v>0</v>
      </c>
      <c r="I3" s="365">
        <v>1</v>
      </c>
      <c r="J3" s="77" t="s">
        <v>142</v>
      </c>
      <c r="K3" s="52"/>
      <c r="L3" s="495">
        <f>IF(OR(Copa2022!F11="",G3=""),"",
IF(AND(Copa2022!F11=George!G3,Copa2022!H11=George!I3),Regras!$J$25,IF(Y3=Regras!F25,Regras!$J$26,0)))</f>
        <v>0</v>
      </c>
      <c r="M3" s="495"/>
      <c r="N3" s="316"/>
      <c r="O3" s="502" t="s">
        <v>220</v>
      </c>
      <c r="P3" s="526"/>
      <c r="Q3" s="324" t="str">
        <f>IF(Copa2022!F16="","",IF(Copa2022!O12=George!P4,Regras!$J$27,0))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Catar</v>
      </c>
    </row>
    <row r="4" spans="1:25" s="60" customFormat="1" ht="35.1" customHeight="1" x14ac:dyDescent="0.2">
      <c r="A4" s="60" t="s">
        <v>285</v>
      </c>
      <c r="B4" s="485"/>
      <c r="C4" s="171">
        <v>44886</v>
      </c>
      <c r="D4" s="194" t="s">
        <v>134</v>
      </c>
      <c r="E4" s="172" t="s">
        <v>157</v>
      </c>
      <c r="F4" s="78" t="s">
        <v>131</v>
      </c>
      <c r="G4" s="357">
        <v>1</v>
      </c>
      <c r="H4" s="358" t="s">
        <v>0</v>
      </c>
      <c r="I4" s="366">
        <v>3</v>
      </c>
      <c r="J4" s="81" t="s">
        <v>140</v>
      </c>
      <c r="K4" s="52"/>
      <c r="L4" s="495">
        <f>IF(OR(Copa2022!F12="",G4=""),"",
IF(AND(Copa2022!F12=George!G4,Copa2022!H12=George!I4),Regras!$J$25,IF(Y4=Regras!F26,Regras!$J$26,0)))</f>
        <v>5</v>
      </c>
      <c r="M4" s="495"/>
      <c r="N4" s="316"/>
      <c r="O4" s="378">
        <v>1</v>
      </c>
      <c r="P4" s="377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 x14ac:dyDescent="0.25">
      <c r="A5" s="60" t="s">
        <v>286</v>
      </c>
      <c r="B5" s="485"/>
      <c r="C5" s="171">
        <v>44890</v>
      </c>
      <c r="D5" s="194" t="s">
        <v>135</v>
      </c>
      <c r="E5" s="172" t="s">
        <v>157</v>
      </c>
      <c r="F5" s="78" t="s">
        <v>141</v>
      </c>
      <c r="G5" s="357">
        <v>1</v>
      </c>
      <c r="H5" s="358" t="s">
        <v>0</v>
      </c>
      <c r="I5" s="366">
        <v>1</v>
      </c>
      <c r="J5" s="81" t="s">
        <v>131</v>
      </c>
      <c r="K5" s="52"/>
      <c r="L5" s="495" t="str">
        <f>IF(OR(Copa2022!F13="",G5=""),"",
IF(AND(Copa2022!F13=George!G5,Copa2022!H13=George!I5),Regras!$J$25,IF(Y5=Regras!F27,Regras!$J$26,0)))</f>
        <v/>
      </c>
      <c r="M5" s="495"/>
      <c r="N5" s="316"/>
      <c r="O5" s="381">
        <v>2</v>
      </c>
      <c r="P5" s="382" t="s">
        <v>141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 x14ac:dyDescent="0.2">
      <c r="A6" s="60" t="s">
        <v>287</v>
      </c>
      <c r="B6" s="485"/>
      <c r="C6" s="171">
        <v>44890</v>
      </c>
      <c r="D6" s="194" t="s">
        <v>134</v>
      </c>
      <c r="E6" s="172" t="s">
        <v>143</v>
      </c>
      <c r="F6" s="78" t="s">
        <v>140</v>
      </c>
      <c r="G6" s="357">
        <v>2</v>
      </c>
      <c r="H6" s="358" t="s">
        <v>0</v>
      </c>
      <c r="I6" s="366">
        <v>0</v>
      </c>
      <c r="J6" s="81" t="s">
        <v>142</v>
      </c>
      <c r="K6" s="52"/>
      <c r="L6" s="495" t="str">
        <f>IF(OR(Copa2022!F14="",G6=""),"",
IF(AND(Copa2022!F14=George!G6,Copa2022!H14=George!I6),Regras!$J$25,IF(Y6=Regras!F28,Regras!$J$26,0)))</f>
        <v/>
      </c>
      <c r="M6" s="495"/>
      <c r="N6" s="316"/>
      <c r="O6" s="378">
        <v>3</v>
      </c>
      <c r="P6" s="377" t="s">
        <v>131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 x14ac:dyDescent="0.25">
      <c r="A7" s="60" t="s">
        <v>288</v>
      </c>
      <c r="B7" s="485"/>
      <c r="C7" s="171">
        <v>44894</v>
      </c>
      <c r="D7" s="194" t="s">
        <v>132</v>
      </c>
      <c r="E7" s="172" t="s">
        <v>161</v>
      </c>
      <c r="F7" s="78" t="s">
        <v>140</v>
      </c>
      <c r="G7" s="357">
        <v>3</v>
      </c>
      <c r="H7" s="358" t="s">
        <v>0</v>
      </c>
      <c r="I7" s="366">
        <v>0</v>
      </c>
      <c r="J7" s="81" t="s">
        <v>141</v>
      </c>
      <c r="K7" s="52"/>
      <c r="L7" s="495" t="str">
        <f>IF(OR(Copa2022!F15="",G7=""),"",
IF(AND(Copa2022!F15=George!G7,Copa2022!H15=George!I7),Regras!$J$25,IF(Y7=Regras!F29,Regras!$J$26,0)))</f>
        <v/>
      </c>
      <c r="M7" s="495"/>
      <c r="N7" s="316"/>
      <c r="O7" s="379">
        <v>4</v>
      </c>
      <c r="P7" s="380" t="s">
        <v>142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 x14ac:dyDescent="0.25">
      <c r="A8" s="60" t="s">
        <v>289</v>
      </c>
      <c r="B8" s="486"/>
      <c r="C8" s="173">
        <v>44894</v>
      </c>
      <c r="D8" s="195" t="s">
        <v>132</v>
      </c>
      <c r="E8" s="174" t="s">
        <v>143</v>
      </c>
      <c r="F8" s="86" t="s">
        <v>142</v>
      </c>
      <c r="G8" s="361">
        <v>1</v>
      </c>
      <c r="H8" s="362" t="s">
        <v>0</v>
      </c>
      <c r="I8" s="367">
        <v>1</v>
      </c>
      <c r="J8" s="89" t="s">
        <v>131</v>
      </c>
      <c r="K8" s="52"/>
      <c r="L8" s="495" t="str">
        <f>IF(OR(Copa2022!F16="",G8=""),"",
IF(AND(Copa2022!F16=George!G8,Copa2022!H16=George!I8),Regras!$J$25,IF(Y8=Regras!F30,Regras!$J$26,0)))</f>
        <v/>
      </c>
      <c r="M8" s="495"/>
      <c r="N8" s="316"/>
      <c r="O8" s="385"/>
      <c r="P8" s="38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 x14ac:dyDescent="0.25">
      <c r="A9" s="60" t="s">
        <v>290</v>
      </c>
      <c r="B9" s="48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59">
        <v>1</v>
      </c>
      <c r="H9" s="360" t="s">
        <v>0</v>
      </c>
      <c r="I9" s="368">
        <v>1</v>
      </c>
      <c r="J9" s="85" t="s">
        <v>123</v>
      </c>
      <c r="K9" s="52"/>
      <c r="L9" s="495">
        <f>IF(OR(Copa2022!F17="",G9=""),"",
IF(AND(Copa2022!F17=George!G9,Copa2022!H17=George!I9),Regras!$J$25,IF(Y9=Regras!F31,Regras!$J$26,0)))</f>
        <v>0</v>
      </c>
      <c r="M9" s="495"/>
      <c r="N9" s="316"/>
      <c r="O9" s="502" t="s">
        <v>48</v>
      </c>
      <c r="P9" s="503"/>
      <c r="Q9" s="324" t="str">
        <f>IF(Copa2022!F22="","",IF(Copa2022!O18=George!P10,Regras!$J$27,0))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empate</v>
      </c>
    </row>
    <row r="10" spans="1:25" s="60" customFormat="1" ht="35.1" customHeight="1" x14ac:dyDescent="0.2">
      <c r="A10" s="60" t="s">
        <v>291</v>
      </c>
      <c r="B10" s="485"/>
      <c r="C10" s="171">
        <v>44886</v>
      </c>
      <c r="D10" s="194" t="s">
        <v>136</v>
      </c>
      <c r="E10" s="177" t="s">
        <v>162</v>
      </c>
      <c r="F10" s="78" t="s">
        <v>145</v>
      </c>
      <c r="G10" s="357">
        <v>2</v>
      </c>
      <c r="H10" s="358" t="s">
        <v>0</v>
      </c>
      <c r="I10" s="366">
        <v>1</v>
      </c>
      <c r="J10" s="81" t="s">
        <v>158</v>
      </c>
      <c r="K10" s="52"/>
      <c r="L10" s="495">
        <f>IF(OR(Copa2022!F18="",G10=""),"",
IF(AND(Copa2022!F18=George!G10,Copa2022!H18=George!I10),Regras!$J$25,IF(Y10=Regras!F32,Regras!$J$26,0)))</f>
        <v>0</v>
      </c>
      <c r="M10" s="495"/>
      <c r="N10" s="316"/>
      <c r="O10" s="378">
        <v>1</v>
      </c>
      <c r="P10" s="377" t="s">
        <v>145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Estados Unidos</v>
      </c>
    </row>
    <row r="11" spans="1:25" s="60" customFormat="1" ht="35.1" customHeight="1" thickBot="1" x14ac:dyDescent="0.25">
      <c r="A11" s="60" t="s">
        <v>292</v>
      </c>
      <c r="B11" s="485"/>
      <c r="C11" s="171">
        <v>44890</v>
      </c>
      <c r="D11" s="194" t="s">
        <v>133</v>
      </c>
      <c r="E11" s="177" t="s">
        <v>162</v>
      </c>
      <c r="F11" s="78" t="s">
        <v>158</v>
      </c>
      <c r="G11" s="357">
        <v>2</v>
      </c>
      <c r="H11" s="358" t="s">
        <v>0</v>
      </c>
      <c r="I11" s="366">
        <v>0</v>
      </c>
      <c r="J11" s="81" t="s">
        <v>123</v>
      </c>
      <c r="K11" s="52"/>
      <c r="L11" s="495" t="str">
        <f>IF(OR(Copa2022!F19="",G11=""),"",
IF(AND(Copa2022!F19=George!G11,Copa2022!H19=George!I11),Regras!$J$25,IF(Y11=Regras!F33,Regras!$J$26,0)))</f>
        <v/>
      </c>
      <c r="M11" s="495"/>
      <c r="N11" s="316"/>
      <c r="O11" s="381">
        <v>2</v>
      </c>
      <c r="P11" s="382" t="s">
        <v>6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 x14ac:dyDescent="0.2">
      <c r="A12" s="60" t="s">
        <v>293</v>
      </c>
      <c r="B12" s="485"/>
      <c r="C12" s="171">
        <v>44890</v>
      </c>
      <c r="D12" s="194" t="s">
        <v>136</v>
      </c>
      <c r="E12" s="177" t="s">
        <v>161</v>
      </c>
      <c r="F12" s="78" t="s">
        <v>6</v>
      </c>
      <c r="G12" s="357">
        <v>2</v>
      </c>
      <c r="H12" s="358" t="s">
        <v>0</v>
      </c>
      <c r="I12" s="366">
        <v>1</v>
      </c>
      <c r="J12" s="81" t="s">
        <v>145</v>
      </c>
      <c r="K12" s="52"/>
      <c r="L12" s="495" t="str">
        <f>IF(OR(Copa2022!F20="",G12=""),"",
IF(AND(Copa2022!F20=George!G12,Copa2022!H20=George!I12),Regras!$J$25,IF(Y12=Regras!F34,Regras!$J$26,0)))</f>
        <v/>
      </c>
      <c r="M12" s="495"/>
      <c r="N12" s="316"/>
      <c r="O12" s="378">
        <v>3</v>
      </c>
      <c r="P12" s="377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 x14ac:dyDescent="0.25">
      <c r="A13" s="60" t="s">
        <v>294</v>
      </c>
      <c r="B13" s="485"/>
      <c r="C13" s="171">
        <v>44894</v>
      </c>
      <c r="D13" s="194" t="s">
        <v>136</v>
      </c>
      <c r="E13" s="177" t="s">
        <v>162</v>
      </c>
      <c r="F13" s="78" t="s">
        <v>158</v>
      </c>
      <c r="G13" s="357">
        <v>1</v>
      </c>
      <c r="H13" s="358" t="s">
        <v>0</v>
      </c>
      <c r="I13" s="366">
        <v>1</v>
      </c>
      <c r="J13" s="81" t="s">
        <v>6</v>
      </c>
      <c r="K13" s="52"/>
      <c r="L13" s="495" t="str">
        <f>IF(OR(Copa2022!F21="",G13=""),"",
IF(AND(Copa2022!F21=George!G13,Copa2022!H21=George!I13),Regras!$J$25,IF(Y13=Regras!F35,Regras!$J$26,0)))</f>
        <v/>
      </c>
      <c r="M13" s="495"/>
      <c r="N13" s="316"/>
      <c r="O13" s="379">
        <v>4</v>
      </c>
      <c r="P13" s="380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 x14ac:dyDescent="0.25">
      <c r="A14" s="60" t="s">
        <v>295</v>
      </c>
      <c r="B14" s="486"/>
      <c r="C14" s="173">
        <v>44894</v>
      </c>
      <c r="D14" s="195" t="s">
        <v>136</v>
      </c>
      <c r="E14" s="178" t="s">
        <v>157</v>
      </c>
      <c r="F14" s="90" t="s">
        <v>123</v>
      </c>
      <c r="G14" s="363">
        <v>1</v>
      </c>
      <c r="H14" s="364" t="s">
        <v>0</v>
      </c>
      <c r="I14" s="369">
        <v>2</v>
      </c>
      <c r="J14" s="93" t="s">
        <v>145</v>
      </c>
      <c r="K14" s="52"/>
      <c r="L14" s="495" t="str">
        <f>IF(OR(Copa2022!F22="",G14=""),"",
IF(AND(Copa2022!F22=George!G14,Copa2022!H22=George!I14),Regras!$J$25,IF(Y14=Regras!F36,Regras!$J$26,0)))</f>
        <v/>
      </c>
      <c r="M14" s="495"/>
      <c r="N14" s="316"/>
      <c r="O14" s="373"/>
      <c r="P14" s="377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 x14ac:dyDescent="0.25">
      <c r="A15" s="60" t="s">
        <v>296</v>
      </c>
      <c r="B15" s="48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55">
        <v>3</v>
      </c>
      <c r="H15" s="356" t="s">
        <v>0</v>
      </c>
      <c r="I15" s="365">
        <v>0</v>
      </c>
      <c r="J15" s="77" t="s">
        <v>125</v>
      </c>
      <c r="K15" s="52"/>
      <c r="L15" s="495">
        <f>IF(OR(Copa2022!F23="",G15=""),"",
IF(AND(Copa2022!F23=George!G15,Copa2022!H23=George!I15),Regras!$J$25,IF(Y15=Regras!F37,Regras!$J$26,0)))</f>
        <v>0</v>
      </c>
      <c r="M15" s="495"/>
      <c r="N15" s="316"/>
      <c r="O15" s="502" t="s">
        <v>50</v>
      </c>
      <c r="P15" s="503"/>
      <c r="Q15" s="324" t="str">
        <f>IF(Copa2022!F28="","",IF(Copa2022!O24=George!P16,Regras!$J$27,0))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 x14ac:dyDescent="0.2">
      <c r="A16" s="60" t="s">
        <v>297</v>
      </c>
      <c r="B16" s="485"/>
      <c r="C16" s="171">
        <v>44887</v>
      </c>
      <c r="D16" s="194" t="s">
        <v>134</v>
      </c>
      <c r="E16" s="172" t="s">
        <v>163</v>
      </c>
      <c r="F16" s="78" t="s">
        <v>1</v>
      </c>
      <c r="G16" s="357">
        <v>1</v>
      </c>
      <c r="H16" s="358" t="s">
        <v>0</v>
      </c>
      <c r="I16" s="366">
        <v>2</v>
      </c>
      <c r="J16" s="81" t="s">
        <v>130</v>
      </c>
      <c r="K16" s="52"/>
      <c r="L16" s="495">
        <f>IF(OR(Copa2022!F24="",G16=""),"",
IF(AND(Copa2022!F24=George!G16,Copa2022!H24=George!I16),Regras!$J$25,IF(Y16=Regras!F38,Regras!$J$26,0)))</f>
        <v>0</v>
      </c>
      <c r="M16" s="495"/>
      <c r="N16" s="316"/>
      <c r="O16" s="378">
        <v>1</v>
      </c>
      <c r="P16" s="377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Polônia</v>
      </c>
    </row>
    <row r="17" spans="1:25" s="60" customFormat="1" ht="35.1" customHeight="1" thickBot="1" x14ac:dyDescent="0.25">
      <c r="A17" s="60" t="s">
        <v>298</v>
      </c>
      <c r="B17" s="485"/>
      <c r="C17" s="171">
        <v>44891</v>
      </c>
      <c r="D17" s="194" t="s">
        <v>135</v>
      </c>
      <c r="E17" s="172" t="s">
        <v>148</v>
      </c>
      <c r="F17" s="78" t="s">
        <v>130</v>
      </c>
      <c r="G17" s="357">
        <v>1</v>
      </c>
      <c r="H17" s="358" t="s">
        <v>0</v>
      </c>
      <c r="I17" s="366">
        <v>1</v>
      </c>
      <c r="J17" s="81" t="s">
        <v>125</v>
      </c>
      <c r="K17" s="52"/>
      <c r="L17" s="495" t="str">
        <f>IF(OR(Copa2022!F25="",G17=""),"",
IF(AND(Copa2022!F25=George!G17,Copa2022!H25=George!I17),Regras!$J$25,IF(Y17=Regras!F39,Regras!$J$26,0)))</f>
        <v/>
      </c>
      <c r="M17" s="495"/>
      <c r="N17" s="316"/>
      <c r="O17" s="381">
        <v>2</v>
      </c>
      <c r="P17" s="382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 x14ac:dyDescent="0.2">
      <c r="A18" s="60" t="s">
        <v>299</v>
      </c>
      <c r="B18" s="485"/>
      <c r="C18" s="171">
        <v>44891</v>
      </c>
      <c r="D18" s="194" t="s">
        <v>136</v>
      </c>
      <c r="E18" s="172" t="s">
        <v>146</v>
      </c>
      <c r="F18" s="78" t="s">
        <v>4</v>
      </c>
      <c r="G18" s="357">
        <v>3</v>
      </c>
      <c r="H18" s="358" t="s">
        <v>0</v>
      </c>
      <c r="I18" s="366">
        <v>1</v>
      </c>
      <c r="J18" s="81" t="s">
        <v>1</v>
      </c>
      <c r="K18" s="52"/>
      <c r="L18" s="495" t="str">
        <f>IF(OR(Copa2022!F26="",G18=""),"",
IF(AND(Copa2022!F26=George!G18,Copa2022!H26=George!I18),Regras!$J$25,IF(Y18=Regras!F40,Regras!$J$26,0)))</f>
        <v/>
      </c>
      <c r="M18" s="495"/>
      <c r="N18" s="316"/>
      <c r="O18" s="378">
        <v>3</v>
      </c>
      <c r="P18" s="377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 x14ac:dyDescent="0.25">
      <c r="A19" s="60" t="s">
        <v>300</v>
      </c>
      <c r="B19" s="485"/>
      <c r="C19" s="171">
        <v>44895</v>
      </c>
      <c r="D19" s="194" t="s">
        <v>136</v>
      </c>
      <c r="E19" s="172" t="s">
        <v>163</v>
      </c>
      <c r="F19" s="78" t="s">
        <v>130</v>
      </c>
      <c r="G19" s="357">
        <v>0</v>
      </c>
      <c r="H19" s="358" t="s">
        <v>0</v>
      </c>
      <c r="I19" s="366">
        <v>2</v>
      </c>
      <c r="J19" s="81" t="s">
        <v>4</v>
      </c>
      <c r="K19" s="52"/>
      <c r="L19" s="495" t="str">
        <f>IF(OR(Copa2022!F27="",G19=""),"",
IF(AND(Copa2022!F27=George!G19,Copa2022!H27=George!I19),Regras!$J$25,IF(Y19=Regras!F41,Regras!$J$26,0)))</f>
        <v/>
      </c>
      <c r="M19" s="495"/>
      <c r="N19" s="316"/>
      <c r="O19" s="379">
        <v>4</v>
      </c>
      <c r="P19" s="380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 x14ac:dyDescent="0.25">
      <c r="A20" s="60" t="s">
        <v>301</v>
      </c>
      <c r="B20" s="486"/>
      <c r="C20" s="173">
        <v>44895</v>
      </c>
      <c r="D20" s="195" t="s">
        <v>136</v>
      </c>
      <c r="E20" s="174" t="s">
        <v>146</v>
      </c>
      <c r="F20" s="86" t="s">
        <v>125</v>
      </c>
      <c r="G20" s="361">
        <v>0</v>
      </c>
      <c r="H20" s="362" t="s">
        <v>0</v>
      </c>
      <c r="I20" s="367">
        <v>1</v>
      </c>
      <c r="J20" s="89" t="s">
        <v>1</v>
      </c>
      <c r="K20" s="52"/>
      <c r="L20" s="495" t="str">
        <f>IF(OR(Copa2022!F28="",G20=""),"",
IF(AND(Copa2022!F28=George!G20,Copa2022!H28=George!I20),Regras!$J$25,IF(Y20=Regras!F42,Regras!$J$26,0)))</f>
        <v/>
      </c>
      <c r="M20" s="495"/>
      <c r="N20" s="316"/>
      <c r="O20" s="373"/>
      <c r="P20" s="377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 x14ac:dyDescent="0.25">
      <c r="A21" s="60" t="s">
        <v>302</v>
      </c>
      <c r="B21" s="48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59">
        <v>2</v>
      </c>
      <c r="H21" s="360" t="s">
        <v>0</v>
      </c>
      <c r="I21" s="368">
        <v>1</v>
      </c>
      <c r="J21" s="85" t="s">
        <v>129</v>
      </c>
      <c r="K21" s="52"/>
      <c r="L21" s="495">
        <f>IF(OR(Copa2022!F29="",G21=""),"",
IF(AND(Copa2022!F29=George!G21,Copa2022!H29=George!I21),Regras!$J$25,IF(Y21=Regras!F43,Regras!$J$26,0)))</f>
        <v>0</v>
      </c>
      <c r="M21" s="495"/>
      <c r="N21" s="316"/>
      <c r="O21" s="502" t="s">
        <v>51</v>
      </c>
      <c r="P21" s="503"/>
      <c r="Q21" s="324" t="str">
        <f>IF(Copa2022!F34="","",IF(Copa2022!O30=George!P22,Regras!$J$27,0))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 x14ac:dyDescent="0.2">
      <c r="A22" s="60" t="s">
        <v>303</v>
      </c>
      <c r="B22" s="485"/>
      <c r="C22" s="171">
        <v>44887</v>
      </c>
      <c r="D22" s="194" t="s">
        <v>136</v>
      </c>
      <c r="E22" s="177" t="s">
        <v>164</v>
      </c>
      <c r="F22" s="78" t="s">
        <v>3</v>
      </c>
      <c r="G22" s="357">
        <v>3</v>
      </c>
      <c r="H22" s="358" t="s">
        <v>0</v>
      </c>
      <c r="I22" s="366">
        <v>0</v>
      </c>
      <c r="J22" s="81" t="s">
        <v>159</v>
      </c>
      <c r="K22" s="52"/>
      <c r="L22" s="495">
        <f>IF(OR(Copa2022!F30="",G22=""),"",
IF(AND(Copa2022!F30=George!G22,Copa2022!H30=George!I22),Regras!$J$25,IF(Y22=Regras!F44,Regras!$J$26,0)))</f>
        <v>5</v>
      </c>
      <c r="M22" s="495"/>
      <c r="N22" s="316"/>
      <c r="O22" s="378">
        <v>1</v>
      </c>
      <c r="P22" s="377" t="s">
        <v>127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 x14ac:dyDescent="0.25">
      <c r="A23" s="60" t="s">
        <v>304</v>
      </c>
      <c r="B23" s="485"/>
      <c r="C23" s="171">
        <v>44891</v>
      </c>
      <c r="D23" s="194" t="s">
        <v>133</v>
      </c>
      <c r="E23" s="177" t="s">
        <v>164</v>
      </c>
      <c r="F23" s="78" t="s">
        <v>129</v>
      </c>
      <c r="G23" s="357">
        <v>2</v>
      </c>
      <c r="H23" s="358" t="s">
        <v>0</v>
      </c>
      <c r="I23" s="366">
        <v>1</v>
      </c>
      <c r="J23" s="81" t="s">
        <v>159</v>
      </c>
      <c r="K23" s="52"/>
      <c r="L23" s="495" t="str">
        <f>IF(OR(Copa2022!F31="",G23=""),"",
IF(AND(Copa2022!F31=George!G23,Copa2022!H31=George!I23),Regras!$J$25,IF(Y23=Regras!F45,Regras!$J$26,0)))</f>
        <v/>
      </c>
      <c r="M23" s="495"/>
      <c r="N23" s="316"/>
      <c r="O23" s="381">
        <v>2</v>
      </c>
      <c r="P23" s="382" t="s">
        <v>3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 x14ac:dyDescent="0.2">
      <c r="A24" s="60" t="s">
        <v>305</v>
      </c>
      <c r="B24" s="485"/>
      <c r="C24" s="171">
        <v>44891</v>
      </c>
      <c r="D24" s="194" t="s">
        <v>134</v>
      </c>
      <c r="E24" s="177" t="s">
        <v>163</v>
      </c>
      <c r="F24" s="78" t="s">
        <v>3</v>
      </c>
      <c r="G24" s="357">
        <v>1</v>
      </c>
      <c r="H24" s="358" t="s">
        <v>0</v>
      </c>
      <c r="I24" s="366">
        <v>1</v>
      </c>
      <c r="J24" s="81" t="s">
        <v>127</v>
      </c>
      <c r="K24" s="52"/>
      <c r="L24" s="495" t="str">
        <f>IF(OR(Copa2022!F32="",G24=""),"",
IF(AND(Copa2022!F32=George!G24,Copa2022!H32=George!I24),Regras!$J$25,IF(Y24=Regras!F46,Regras!$J$26,0)))</f>
        <v/>
      </c>
      <c r="M24" s="495"/>
      <c r="N24" s="316"/>
      <c r="O24" s="378">
        <v>3</v>
      </c>
      <c r="P24" s="377" t="s">
        <v>129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 x14ac:dyDescent="0.25">
      <c r="A25" s="60" t="s">
        <v>306</v>
      </c>
      <c r="B25" s="485"/>
      <c r="C25" s="171">
        <v>44895</v>
      </c>
      <c r="D25" s="194" t="s">
        <v>132</v>
      </c>
      <c r="E25" s="177" t="s">
        <v>148</v>
      </c>
      <c r="F25" s="78" t="s">
        <v>129</v>
      </c>
      <c r="G25" s="357">
        <v>1</v>
      </c>
      <c r="H25" s="358" t="s">
        <v>0</v>
      </c>
      <c r="I25" s="366">
        <v>1</v>
      </c>
      <c r="J25" s="81" t="s">
        <v>3</v>
      </c>
      <c r="K25" s="52"/>
      <c r="L25" s="495" t="str">
        <f>IF(OR(Copa2022!F33="",G25=""),"",
IF(AND(Copa2022!F33=George!G25,Copa2022!H33=George!I25),Regras!$J$25,IF(Y25=Regras!F47,Regras!$J$26,0)))</f>
        <v/>
      </c>
      <c r="M25" s="495"/>
      <c r="N25" s="316"/>
      <c r="O25" s="379">
        <v>4</v>
      </c>
      <c r="P25" s="380" t="s">
        <v>159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 x14ac:dyDescent="0.25">
      <c r="A26" s="60" t="s">
        <v>307</v>
      </c>
      <c r="B26" s="486"/>
      <c r="C26" s="173">
        <v>44895</v>
      </c>
      <c r="D26" s="195" t="s">
        <v>132</v>
      </c>
      <c r="E26" s="178" t="s">
        <v>164</v>
      </c>
      <c r="F26" s="90" t="s">
        <v>159</v>
      </c>
      <c r="G26" s="363">
        <v>0</v>
      </c>
      <c r="H26" s="364" t="s">
        <v>0</v>
      </c>
      <c r="I26" s="369">
        <v>2</v>
      </c>
      <c r="J26" s="93" t="s">
        <v>127</v>
      </c>
      <c r="K26" s="52"/>
      <c r="L26" s="495" t="str">
        <f>IF(OR(Copa2022!F34="",G26=""),"",
IF(AND(Copa2022!F34=George!G26,Copa2022!H34=George!I26),Regras!$J$25,IF(Y26=Regras!F48,Regras!$J$26,0)))</f>
        <v/>
      </c>
      <c r="M26" s="495"/>
      <c r="N26" s="316"/>
      <c r="O26" s="373"/>
      <c r="P26" s="377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 x14ac:dyDescent="0.25">
      <c r="A27" s="60" t="s">
        <v>308</v>
      </c>
      <c r="B27" s="48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55">
        <v>2</v>
      </c>
      <c r="H27" s="356" t="s">
        <v>0</v>
      </c>
      <c r="I27" s="365">
        <v>2</v>
      </c>
      <c r="J27" s="77" t="s">
        <v>8</v>
      </c>
      <c r="K27" s="52"/>
      <c r="L27" s="495" t="str">
        <f>IF(OR(Copa2022!F35="",G27=""),"",
IF(AND(Copa2022!F35=George!G27,Copa2022!H35=George!I27),Regras!$J$25,IF(Y27=Regras!F49,Regras!$J$26,0)))</f>
        <v/>
      </c>
      <c r="M27" s="495"/>
      <c r="N27" s="316"/>
      <c r="O27" s="502" t="s">
        <v>53</v>
      </c>
      <c r="P27" s="503"/>
      <c r="Q27" s="324" t="str">
        <f>IF(Copa2022!F40="","",IF(Copa2022!O36=George!P28,Regras!$J$27,0))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 x14ac:dyDescent="0.2">
      <c r="A28" s="60" t="s">
        <v>309</v>
      </c>
      <c r="B28" s="485"/>
      <c r="C28" s="171">
        <v>44888</v>
      </c>
      <c r="D28" s="194" t="s">
        <v>134</v>
      </c>
      <c r="E28" s="172" t="s">
        <v>157</v>
      </c>
      <c r="F28" s="78" t="s">
        <v>11</v>
      </c>
      <c r="G28" s="357">
        <v>2</v>
      </c>
      <c r="H28" s="358" t="s">
        <v>0</v>
      </c>
      <c r="I28" s="366">
        <v>0</v>
      </c>
      <c r="J28" s="81" t="s">
        <v>160</v>
      </c>
      <c r="K28" s="52"/>
      <c r="L28" s="495" t="str">
        <f>IF(OR(Copa2022!F36="",G28=""),"",
IF(AND(Copa2022!F36=George!G28,Copa2022!H36=George!I28),Regras!$J$25,IF(Y28=Regras!F50,Regras!$J$26,0)))</f>
        <v/>
      </c>
      <c r="M28" s="495"/>
      <c r="N28" s="316"/>
      <c r="O28" s="378">
        <v>1</v>
      </c>
      <c r="P28" s="377" t="s">
        <v>8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 x14ac:dyDescent="0.25">
      <c r="A29" s="60" t="s">
        <v>310</v>
      </c>
      <c r="B29" s="485"/>
      <c r="C29" s="171">
        <v>44892</v>
      </c>
      <c r="D29" s="194" t="s">
        <v>133</v>
      </c>
      <c r="E29" s="172" t="s">
        <v>162</v>
      </c>
      <c r="F29" s="78" t="s">
        <v>8</v>
      </c>
      <c r="G29" s="357">
        <v>1</v>
      </c>
      <c r="H29" s="358" t="s">
        <v>0</v>
      </c>
      <c r="I29" s="366">
        <v>0</v>
      </c>
      <c r="J29" s="81" t="s">
        <v>160</v>
      </c>
      <c r="K29" s="52"/>
      <c r="L29" s="495" t="str">
        <f>IF(OR(Copa2022!F37="",G29=""),"",
IF(AND(Copa2022!F37=George!G29,Copa2022!H37=George!I29),Regras!$J$25,IF(Y29=Regras!F51,Regras!$J$26,0)))</f>
        <v/>
      </c>
      <c r="M29" s="495"/>
      <c r="N29" s="316"/>
      <c r="O29" s="381">
        <v>2</v>
      </c>
      <c r="P29" s="382" t="s">
        <v>7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 x14ac:dyDescent="0.2">
      <c r="A30" s="60" t="s">
        <v>311</v>
      </c>
      <c r="B30" s="485"/>
      <c r="C30" s="171">
        <v>44892</v>
      </c>
      <c r="D30" s="194" t="s">
        <v>136</v>
      </c>
      <c r="E30" s="172" t="s">
        <v>161</v>
      </c>
      <c r="F30" s="78" t="s">
        <v>11</v>
      </c>
      <c r="G30" s="357">
        <v>1</v>
      </c>
      <c r="H30" s="358" t="s">
        <v>0</v>
      </c>
      <c r="I30" s="366">
        <v>1</v>
      </c>
      <c r="J30" s="81" t="s">
        <v>7</v>
      </c>
      <c r="K30" s="52"/>
      <c r="L30" s="495" t="str">
        <f>IF(OR(Copa2022!F38="",G30=""),"",
IF(AND(Copa2022!F38=George!G30,Copa2022!H38=George!I30),Regras!$J$25,IF(Y30=Regras!F52,Regras!$J$26,0)))</f>
        <v/>
      </c>
      <c r="M30" s="495"/>
      <c r="N30" s="316"/>
      <c r="O30" s="378">
        <v>3</v>
      </c>
      <c r="P30" s="377" t="s">
        <v>11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 x14ac:dyDescent="0.25">
      <c r="A31" s="60" t="s">
        <v>312</v>
      </c>
      <c r="B31" s="485"/>
      <c r="C31" s="171">
        <v>44896</v>
      </c>
      <c r="D31" s="194" t="s">
        <v>136</v>
      </c>
      <c r="E31" s="172" t="s">
        <v>143</v>
      </c>
      <c r="F31" s="78" t="s">
        <v>8</v>
      </c>
      <c r="G31" s="357">
        <v>2</v>
      </c>
      <c r="H31" s="358" t="s">
        <v>0</v>
      </c>
      <c r="I31" s="366">
        <v>1</v>
      </c>
      <c r="J31" s="81" t="s">
        <v>11</v>
      </c>
      <c r="K31" s="52"/>
      <c r="L31" s="495" t="str">
        <f>IF(OR(Copa2022!F39="",G31=""),"",
IF(AND(Copa2022!F39=George!G31,Copa2022!H39=George!I31),Regras!$J$25,IF(Y31=Regras!F53,Regras!$J$26,0)))</f>
        <v/>
      </c>
      <c r="M31" s="495"/>
      <c r="N31" s="316"/>
      <c r="O31" s="379">
        <v>4</v>
      </c>
      <c r="P31" s="380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 x14ac:dyDescent="0.25">
      <c r="A32" s="60" t="s">
        <v>313</v>
      </c>
      <c r="B32" s="486"/>
      <c r="C32" s="173">
        <v>44896</v>
      </c>
      <c r="D32" s="195" t="s">
        <v>136</v>
      </c>
      <c r="E32" s="174" t="s">
        <v>161</v>
      </c>
      <c r="F32" s="86" t="s">
        <v>160</v>
      </c>
      <c r="G32" s="361">
        <v>0</v>
      </c>
      <c r="H32" s="362" t="s">
        <v>0</v>
      </c>
      <c r="I32" s="367">
        <v>2</v>
      </c>
      <c r="J32" s="89" t="s">
        <v>7</v>
      </c>
      <c r="K32" s="52"/>
      <c r="L32" s="495" t="str">
        <f>IF(OR(Copa2022!F40="",G32=""),"",
IF(AND(Copa2022!F40=George!G32,Copa2022!H40=George!I32),Regras!$J$25,IF(Y32=Regras!F54,Regras!$J$26,0)))</f>
        <v/>
      </c>
      <c r="M32" s="495"/>
      <c r="N32" s="316"/>
      <c r="O32" s="373"/>
      <c r="P32" s="377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 x14ac:dyDescent="0.25">
      <c r="A33" s="60" t="s">
        <v>314</v>
      </c>
      <c r="B33" s="48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59">
        <v>0</v>
      </c>
      <c r="H33" s="360" t="s">
        <v>0</v>
      </c>
      <c r="I33" s="368">
        <v>2</v>
      </c>
      <c r="J33" s="85" t="s">
        <v>70</v>
      </c>
      <c r="K33" s="52"/>
      <c r="L33" s="495" t="str">
        <f>IF(OR(Copa2022!F41="",G33=""),"",
IF(AND(Copa2022!F41=George!G33,Copa2022!H41=George!I33),Regras!$J$25,IF(Y33=Regras!F55,Regras!$J$26,0)))</f>
        <v/>
      </c>
      <c r="M33" s="495"/>
      <c r="N33" s="316"/>
      <c r="O33" s="502" t="s">
        <v>56</v>
      </c>
      <c r="P33" s="503"/>
      <c r="Q33" s="324" t="str">
        <f>IF(Copa2022!F46="","",IF(Copa2022!O42=George!P34,Regras!$J$27,0))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/>
      </c>
    </row>
    <row r="34" spans="1:25" s="60" customFormat="1" ht="35.1" customHeight="1" x14ac:dyDescent="0.2">
      <c r="A34" s="60" t="s">
        <v>315</v>
      </c>
      <c r="B34" s="485"/>
      <c r="C34" s="171">
        <v>44888</v>
      </c>
      <c r="D34" s="194" t="s">
        <v>136</v>
      </c>
      <c r="E34" s="177" t="s">
        <v>162</v>
      </c>
      <c r="F34" s="78" t="s">
        <v>104</v>
      </c>
      <c r="G34" s="357">
        <v>2</v>
      </c>
      <c r="H34" s="358" t="s">
        <v>0</v>
      </c>
      <c r="I34" s="366">
        <v>1</v>
      </c>
      <c r="J34" s="81" t="s">
        <v>150</v>
      </c>
      <c r="K34" s="52"/>
      <c r="L34" s="495" t="str">
        <f>IF(OR(Copa2022!F42="",G34=""),"",
IF(AND(Copa2022!F42=George!G34,Copa2022!H42=George!I34),Regras!$J$25,IF(Y34=Regras!F56,Regras!$J$26,0)))</f>
        <v/>
      </c>
      <c r="M34" s="495"/>
      <c r="N34" s="316"/>
      <c r="O34" s="378">
        <v>1</v>
      </c>
      <c r="P34" s="377" t="s">
        <v>70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 x14ac:dyDescent="0.25">
      <c r="A35" s="60" t="s">
        <v>316</v>
      </c>
      <c r="B35" s="485"/>
      <c r="C35" s="171">
        <v>44892</v>
      </c>
      <c r="D35" s="194" t="s">
        <v>135</v>
      </c>
      <c r="E35" s="177" t="s">
        <v>157</v>
      </c>
      <c r="F35" s="78" t="s">
        <v>104</v>
      </c>
      <c r="G35" s="357">
        <v>2</v>
      </c>
      <c r="H35" s="358" t="s">
        <v>0</v>
      </c>
      <c r="I35" s="366">
        <v>0</v>
      </c>
      <c r="J35" s="81" t="s">
        <v>126</v>
      </c>
      <c r="K35" s="52"/>
      <c r="L35" s="495" t="str">
        <f>IF(OR(Copa2022!F43="",G35=""),"",
IF(AND(Copa2022!F43=George!G35,Copa2022!H43=George!I35),Regras!$J$25,IF(Y35=Regras!F57,Regras!$J$26,0)))</f>
        <v/>
      </c>
      <c r="M35" s="495"/>
      <c r="N35" s="316"/>
      <c r="O35" s="381">
        <v>2</v>
      </c>
      <c r="P35" s="382" t="s">
        <v>104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 x14ac:dyDescent="0.2">
      <c r="A36" s="60" t="s">
        <v>317</v>
      </c>
      <c r="B36" s="485"/>
      <c r="C36" s="171">
        <v>44892</v>
      </c>
      <c r="D36" s="194" t="s">
        <v>134</v>
      </c>
      <c r="E36" s="177" t="s">
        <v>143</v>
      </c>
      <c r="F36" s="78" t="s">
        <v>70</v>
      </c>
      <c r="G36" s="357">
        <v>1</v>
      </c>
      <c r="H36" s="358" t="s">
        <v>0</v>
      </c>
      <c r="I36" s="366">
        <v>1</v>
      </c>
      <c r="J36" s="81" t="s">
        <v>150</v>
      </c>
      <c r="K36" s="52"/>
      <c r="L36" s="495" t="str">
        <f>IF(OR(Copa2022!F44="",G36=""),"",
IF(AND(Copa2022!F44=George!G36,Copa2022!H44=George!I36),Regras!$J$25,IF(Y36=Regras!F58,Regras!$J$26,0)))</f>
        <v/>
      </c>
      <c r="M36" s="495"/>
      <c r="N36" s="316"/>
      <c r="O36" s="378">
        <v>3</v>
      </c>
      <c r="P36" s="377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 x14ac:dyDescent="0.25">
      <c r="A37" s="60" t="s">
        <v>318</v>
      </c>
      <c r="B37" s="485"/>
      <c r="C37" s="171">
        <v>44896</v>
      </c>
      <c r="D37" s="194" t="s">
        <v>132</v>
      </c>
      <c r="E37" s="177" t="s">
        <v>162</v>
      </c>
      <c r="F37" s="78" t="s">
        <v>70</v>
      </c>
      <c r="G37" s="357">
        <v>2</v>
      </c>
      <c r="H37" s="358" t="s">
        <v>0</v>
      </c>
      <c r="I37" s="366">
        <v>1</v>
      </c>
      <c r="J37" s="81" t="s">
        <v>104</v>
      </c>
      <c r="K37" s="52"/>
      <c r="L37" s="495" t="str">
        <f>IF(OR(Copa2022!F45="",G37=""),"",
IF(AND(Copa2022!F45=George!G37,Copa2022!H45=George!I37),Regras!$J$25,IF(Y37=Regras!F59,Regras!$J$26,0)))</f>
        <v/>
      </c>
      <c r="M37" s="495"/>
      <c r="N37" s="316"/>
      <c r="O37" s="379">
        <v>4</v>
      </c>
      <c r="P37" s="380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 x14ac:dyDescent="0.25">
      <c r="A38" s="60" t="s">
        <v>319</v>
      </c>
      <c r="B38" s="486"/>
      <c r="C38" s="173">
        <v>44896</v>
      </c>
      <c r="D38" s="195" t="s">
        <v>132</v>
      </c>
      <c r="E38" s="178" t="s">
        <v>157</v>
      </c>
      <c r="F38" s="90" t="s">
        <v>150</v>
      </c>
      <c r="G38" s="363">
        <v>3</v>
      </c>
      <c r="H38" s="364" t="s">
        <v>0</v>
      </c>
      <c r="I38" s="369">
        <v>1</v>
      </c>
      <c r="J38" s="93" t="s">
        <v>126</v>
      </c>
      <c r="K38" s="52"/>
      <c r="L38" s="495" t="str">
        <f>IF(OR(Copa2022!F46="",G38=""),"",
IF(AND(Copa2022!F46=George!G38,Copa2022!H46=George!I38),Regras!$J$25,IF(Y38=Regras!F60,Regras!$J$26,0)))</f>
        <v/>
      </c>
      <c r="M38" s="495"/>
      <c r="N38" s="316"/>
      <c r="O38" s="373"/>
      <c r="P38" s="377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 x14ac:dyDescent="0.25">
      <c r="A39" s="60" t="s">
        <v>320</v>
      </c>
      <c r="B39" s="48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55">
        <v>2</v>
      </c>
      <c r="H39" s="356" t="s">
        <v>0</v>
      </c>
      <c r="I39" s="365">
        <v>0</v>
      </c>
      <c r="J39" s="77" t="s">
        <v>151</v>
      </c>
      <c r="K39" s="52"/>
      <c r="L39" s="495" t="str">
        <f>IF(OR(Copa2022!F47="",G39=""),"",
IF(AND(Copa2022!F47=George!G39,Copa2022!H47=George!I39),Regras!$J$25,IF(Y39=Regras!F61,Regras!$J$26,0)))</f>
        <v/>
      </c>
      <c r="M39" s="495"/>
      <c r="N39" s="316"/>
      <c r="O39" s="502" t="s">
        <v>58</v>
      </c>
      <c r="P39" s="503"/>
      <c r="Q39" s="324" t="str">
        <f>IF(Copa2022!F52="","",IF(Copa2022!O48=George!P40,Regras!$J$27,0))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 x14ac:dyDescent="0.2">
      <c r="A40" s="60" t="s">
        <v>321</v>
      </c>
      <c r="B40" s="485"/>
      <c r="C40" s="171">
        <v>44889</v>
      </c>
      <c r="D40" s="194" t="s">
        <v>136</v>
      </c>
      <c r="E40" s="172" t="s">
        <v>146</v>
      </c>
      <c r="F40" s="78" t="s">
        <v>10</v>
      </c>
      <c r="G40" s="357">
        <v>3</v>
      </c>
      <c r="H40" s="358" t="s">
        <v>0</v>
      </c>
      <c r="I40" s="366">
        <v>0</v>
      </c>
      <c r="J40" s="81" t="s">
        <v>128</v>
      </c>
      <c r="K40" s="52"/>
      <c r="L40" s="495" t="str">
        <f>IF(OR(Copa2022!F48="",G40=""),"",
IF(AND(Copa2022!F48=George!G40,Copa2022!H48=George!I40),Regras!$J$25,IF(Y40=Regras!F62,Regras!$J$26,0)))</f>
        <v/>
      </c>
      <c r="M40" s="495"/>
      <c r="N40" s="316"/>
      <c r="O40" s="383">
        <v>1</v>
      </c>
      <c r="P40" s="384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 x14ac:dyDescent="0.25">
      <c r="A41" s="60" t="s">
        <v>322</v>
      </c>
      <c r="B41" s="485"/>
      <c r="C41" s="171">
        <v>44893</v>
      </c>
      <c r="D41" s="194" t="s">
        <v>133</v>
      </c>
      <c r="E41" s="172" t="s">
        <v>164</v>
      </c>
      <c r="F41" s="78" t="s">
        <v>151</v>
      </c>
      <c r="G41" s="357">
        <v>1</v>
      </c>
      <c r="H41" s="358" t="s">
        <v>0</v>
      </c>
      <c r="I41" s="366">
        <v>3</v>
      </c>
      <c r="J41" s="81" t="s">
        <v>128</v>
      </c>
      <c r="K41" s="52"/>
      <c r="L41" s="495" t="str">
        <f>IF(OR(Copa2022!F49="",G41=""),"",
IF(AND(Copa2022!F49=George!G41,Copa2022!H49=George!I41),Regras!$J$25,IF(Y41=Regras!F63,Regras!$J$26,0)))</f>
        <v/>
      </c>
      <c r="M41" s="495"/>
      <c r="N41" s="316"/>
      <c r="O41" s="381">
        <v>2</v>
      </c>
      <c r="P41" s="382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 x14ac:dyDescent="0.2">
      <c r="A42" s="60" t="s">
        <v>323</v>
      </c>
      <c r="B42" s="485"/>
      <c r="C42" s="171">
        <v>44893</v>
      </c>
      <c r="D42" s="194" t="s">
        <v>134</v>
      </c>
      <c r="E42" s="172" t="s">
        <v>163</v>
      </c>
      <c r="F42" s="78" t="s">
        <v>10</v>
      </c>
      <c r="G42" s="357">
        <v>2</v>
      </c>
      <c r="H42" s="358" t="s">
        <v>0</v>
      </c>
      <c r="I42" s="366">
        <v>1</v>
      </c>
      <c r="J42" s="81" t="s">
        <v>12</v>
      </c>
      <c r="K42" s="52"/>
      <c r="L42" s="495" t="str">
        <f>IF(OR(Copa2022!F50="",G42=""),"",
IF(AND(Copa2022!F50=George!G42,Copa2022!H50=George!I42),Regras!$J$25,IF(Y42=Regras!F64,Regras!$J$26,0)))</f>
        <v/>
      </c>
      <c r="M42" s="495"/>
      <c r="N42" s="316"/>
      <c r="O42" s="378">
        <v>3</v>
      </c>
      <c r="P42" s="377" t="s">
        <v>128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 x14ac:dyDescent="0.25">
      <c r="A43" s="60" t="s">
        <v>324</v>
      </c>
      <c r="B43" s="485"/>
      <c r="C43" s="171">
        <v>44897</v>
      </c>
      <c r="D43" s="194" t="s">
        <v>136</v>
      </c>
      <c r="E43" s="172" t="s">
        <v>146</v>
      </c>
      <c r="F43" s="78" t="s">
        <v>151</v>
      </c>
      <c r="G43" s="357">
        <v>0</v>
      </c>
      <c r="H43" s="358" t="s">
        <v>0</v>
      </c>
      <c r="I43" s="366">
        <v>4</v>
      </c>
      <c r="J43" s="81" t="s">
        <v>10</v>
      </c>
      <c r="K43" s="52"/>
      <c r="L43" s="495" t="str">
        <f>IF(OR(Copa2022!F51="",G43=""),"",
IF(AND(Copa2022!F51=George!G43,Copa2022!H51=George!I43),Regras!$J$25,IF(Y43=Regras!F65,Regras!$J$26,0)))</f>
        <v/>
      </c>
      <c r="M43" s="495"/>
      <c r="N43" s="316"/>
      <c r="O43" s="379">
        <v>4</v>
      </c>
      <c r="P43" s="380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 x14ac:dyDescent="0.25">
      <c r="A44" s="60" t="s">
        <v>325</v>
      </c>
      <c r="B44" s="486"/>
      <c r="C44" s="173">
        <v>44897</v>
      </c>
      <c r="D44" s="195" t="s">
        <v>136</v>
      </c>
      <c r="E44" s="174" t="s">
        <v>163</v>
      </c>
      <c r="F44" s="86" t="s">
        <v>128</v>
      </c>
      <c r="G44" s="361">
        <v>2</v>
      </c>
      <c r="H44" s="362" t="s">
        <v>0</v>
      </c>
      <c r="I44" s="367">
        <v>2</v>
      </c>
      <c r="J44" s="89" t="s">
        <v>12</v>
      </c>
      <c r="K44" s="52"/>
      <c r="L44" s="495" t="str">
        <f>IF(OR(Copa2022!F52="",G44=""),"",
IF(AND(Copa2022!F52=George!G44,Copa2022!H52=George!I44),Regras!$J$25,IF(Y44=Regras!F66,Regras!$J$26,0)))</f>
        <v/>
      </c>
      <c r="M44" s="495"/>
      <c r="N44" s="316"/>
      <c r="O44" s="373"/>
      <c r="P44" s="377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 x14ac:dyDescent="0.25">
      <c r="A45" s="60" t="s">
        <v>326</v>
      </c>
      <c r="B45" s="48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59">
        <v>2</v>
      </c>
      <c r="H45" s="360" t="s">
        <v>0</v>
      </c>
      <c r="I45" s="368">
        <v>1</v>
      </c>
      <c r="J45" s="85" t="s">
        <v>5</v>
      </c>
      <c r="K45" s="52"/>
      <c r="L45" s="495" t="str">
        <f>IF(OR(Copa2022!F53="",G45=""),"",
IF(AND(Copa2022!F53=George!G45,Copa2022!H53=George!I45),Regras!$J$25,IF(Y45=Regras!F67,Regras!$J$26,0)))</f>
        <v/>
      </c>
      <c r="M45" s="495"/>
      <c r="N45" s="316"/>
      <c r="O45" s="502" t="s">
        <v>59</v>
      </c>
      <c r="P45" s="503"/>
      <c r="Q45" s="324" t="str">
        <f>IF(Copa2022!F58="","",IF(Copa2022!O54=George!P46,Regras!$J$27,0))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 x14ac:dyDescent="0.2">
      <c r="A46" s="60" t="s">
        <v>327</v>
      </c>
      <c r="B46" s="485"/>
      <c r="C46" s="171">
        <v>44889</v>
      </c>
      <c r="D46" s="194" t="s">
        <v>134</v>
      </c>
      <c r="E46" s="177" t="s">
        <v>163</v>
      </c>
      <c r="F46" s="78" t="s">
        <v>9</v>
      </c>
      <c r="G46" s="357">
        <v>2</v>
      </c>
      <c r="H46" s="358" t="s">
        <v>0</v>
      </c>
      <c r="I46" s="366">
        <v>0</v>
      </c>
      <c r="J46" s="81" t="s">
        <v>152</v>
      </c>
      <c r="K46" s="52"/>
      <c r="L46" s="495" t="str">
        <f>IF(OR(Copa2022!F54="",G46=""),"",
IF(AND(Copa2022!F54=George!G46,Copa2022!H54=George!I46),Regras!$J$25,IF(Y46=Regras!F68,Regras!$J$26,0)))</f>
        <v/>
      </c>
      <c r="M46" s="495"/>
      <c r="N46" s="316"/>
      <c r="O46" s="378">
        <v>1</v>
      </c>
      <c r="P46" s="377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 x14ac:dyDescent="0.25">
      <c r="A47" s="60" t="s">
        <v>328</v>
      </c>
      <c r="B47" s="485"/>
      <c r="C47" s="171">
        <v>44893</v>
      </c>
      <c r="D47" s="194" t="s">
        <v>135</v>
      </c>
      <c r="E47" s="177" t="s">
        <v>148</v>
      </c>
      <c r="F47" s="78" t="s">
        <v>5</v>
      </c>
      <c r="G47" s="357">
        <v>2</v>
      </c>
      <c r="H47" s="358" t="s">
        <v>0</v>
      </c>
      <c r="I47" s="366">
        <v>1</v>
      </c>
      <c r="J47" s="81" t="s">
        <v>152</v>
      </c>
      <c r="K47" s="52"/>
      <c r="L47" s="495" t="str">
        <f>IF(OR(Copa2022!F55="",G47=""),"",
IF(AND(Copa2022!F55=George!G47,Copa2022!H55=George!I47),Regras!$J$25,IF(Y47=Regras!F69,Regras!$J$26,0)))</f>
        <v/>
      </c>
      <c r="M47" s="495"/>
      <c r="N47" s="316"/>
      <c r="O47" s="381">
        <v>2</v>
      </c>
      <c r="P47" s="454" t="s">
        <v>9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 x14ac:dyDescent="0.2">
      <c r="A48" s="60" t="s">
        <v>329</v>
      </c>
      <c r="B48" s="485"/>
      <c r="C48" s="171">
        <v>44893</v>
      </c>
      <c r="D48" s="194" t="s">
        <v>136</v>
      </c>
      <c r="E48" s="177" t="s">
        <v>146</v>
      </c>
      <c r="F48" s="78" t="s">
        <v>9</v>
      </c>
      <c r="G48" s="357">
        <v>0</v>
      </c>
      <c r="H48" s="358" t="s">
        <v>0</v>
      </c>
      <c r="I48" s="366">
        <v>1</v>
      </c>
      <c r="J48" s="81" t="s">
        <v>2</v>
      </c>
      <c r="K48" s="52"/>
      <c r="L48" s="495" t="str">
        <f>IF(OR(Copa2022!F56="",G48=""),"",
IF(AND(Copa2022!F56=George!G48,Copa2022!H56=George!I48),Regras!$J$25,IF(Y48=Regras!F70,Regras!$J$26,0)))</f>
        <v/>
      </c>
      <c r="M48" s="495"/>
      <c r="N48" s="316"/>
      <c r="O48" s="378">
        <v>3</v>
      </c>
      <c r="P48" s="449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 x14ac:dyDescent="0.25">
      <c r="A49" s="60" t="s">
        <v>330</v>
      </c>
      <c r="B49" s="485"/>
      <c r="C49" s="171">
        <v>44897</v>
      </c>
      <c r="D49" s="194" t="s">
        <v>132</v>
      </c>
      <c r="E49" s="177" t="s">
        <v>148</v>
      </c>
      <c r="F49" s="78" t="s">
        <v>5</v>
      </c>
      <c r="G49" s="357">
        <v>1</v>
      </c>
      <c r="H49" s="358" t="s">
        <v>0</v>
      </c>
      <c r="I49" s="366">
        <v>2</v>
      </c>
      <c r="J49" s="81" t="s">
        <v>9</v>
      </c>
      <c r="K49" s="52"/>
      <c r="L49" s="495" t="str">
        <f>IF(OR(Copa2022!F57="",G49=""),"",
IF(AND(Copa2022!F57=George!G49,Copa2022!H57=George!I49),Regras!$J$25,IF(Y49=Regras!F71,Regras!$J$26,0)))</f>
        <v/>
      </c>
      <c r="M49" s="495"/>
      <c r="N49" s="316"/>
      <c r="O49" s="379">
        <v>4</v>
      </c>
      <c r="P49" s="380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 x14ac:dyDescent="0.25">
      <c r="A50" s="477" t="s">
        <v>331</v>
      </c>
      <c r="B50" s="486"/>
      <c r="C50" s="173">
        <v>44897</v>
      </c>
      <c r="D50" s="195" t="s">
        <v>132</v>
      </c>
      <c r="E50" s="178" t="s">
        <v>164</v>
      </c>
      <c r="F50" s="19" t="s">
        <v>152</v>
      </c>
      <c r="G50" s="370">
        <v>0</v>
      </c>
      <c r="H50" s="371" t="s">
        <v>0</v>
      </c>
      <c r="I50" s="372">
        <v>2</v>
      </c>
      <c r="J50" s="130" t="s">
        <v>2</v>
      </c>
      <c r="K50" s="52"/>
      <c r="L50" s="495" t="str">
        <f>IF(OR(Copa2022!F58="",G50=""),"",
IF(AND(Copa2022!F58=George!G50,Copa2022!H58=George!I50),Regras!$J$25,IF(Y50=Regras!F72,Regras!$J$26,0)))</f>
        <v/>
      </c>
      <c r="M50" s="495"/>
      <c r="N50" s="316"/>
      <c r="O50" s="63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x14ac:dyDescent="0.2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 x14ac:dyDescent="0.25">
      <c r="B52" s="44"/>
      <c r="C52" s="506" t="s">
        <v>124</v>
      </c>
      <c r="D52" s="507"/>
      <c r="E52" s="507"/>
      <c r="F52" s="507"/>
      <c r="G52" s="507"/>
      <c r="H52" s="507"/>
      <c r="I52" s="507"/>
      <c r="J52" s="507"/>
      <c r="K52" s="507"/>
      <c r="L52" s="507"/>
      <c r="M52" s="508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 x14ac:dyDescent="0.25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4" t="s">
        <v>78</v>
      </c>
      <c r="M53" s="505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 x14ac:dyDescent="0.25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6"/>
    </row>
    <row r="55" spans="1:25" s="60" customFormat="1" ht="34.5" hidden="1" customHeight="1" thickBot="1" x14ac:dyDescent="0.25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6"/>
    </row>
    <row r="56" spans="1:25" s="60" customFormat="1" ht="34.5" hidden="1" customHeight="1" thickBot="1" x14ac:dyDescent="0.25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6"/>
    </row>
    <row r="57" spans="1:25" s="60" customFormat="1" ht="34.5" hidden="1" customHeight="1" thickBot="1" x14ac:dyDescent="0.25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6"/>
    </row>
    <row r="58" spans="1:25" s="61" customFormat="1" ht="34.5" hidden="1" customHeight="1" thickBot="1" x14ac:dyDescent="0.25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6"/>
    </row>
    <row r="59" spans="1:25" s="60" customFormat="1" ht="34.5" hidden="1" customHeight="1" thickBot="1" x14ac:dyDescent="0.25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6"/>
    </row>
    <row r="60" spans="1:25" s="60" customFormat="1" ht="34.5" hidden="1" customHeight="1" thickBot="1" x14ac:dyDescent="0.25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6"/>
    </row>
    <row r="61" spans="1:25" s="60" customFormat="1" ht="34.5" hidden="1" customHeight="1" thickBot="1" x14ac:dyDescent="0.25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6"/>
    </row>
    <row r="62" spans="1:25" s="61" customFormat="1" ht="20.100000000000001" hidden="1" customHeight="1" thickBot="1" x14ac:dyDescent="0.25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23" t="s">
        <v>78</v>
      </c>
      <c r="M62" s="524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6"/>
    </row>
    <row r="63" spans="1:25" s="60" customFormat="1" ht="33.950000000000003" hidden="1" customHeight="1" thickBot="1" x14ac:dyDescent="0.25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6"/>
    </row>
    <row r="64" spans="1:25" s="61" customFormat="1" ht="33.950000000000003" hidden="1" customHeight="1" thickBot="1" x14ac:dyDescent="0.25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6"/>
    </row>
    <row r="65" spans="1:25" s="61" customFormat="1" ht="33.950000000000003" hidden="1" customHeight="1" thickBot="1" x14ac:dyDescent="0.25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6"/>
    </row>
    <row r="66" spans="1:25" s="60" customFormat="1" ht="33.950000000000003" hidden="1" customHeight="1" thickBot="1" x14ac:dyDescent="0.25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6"/>
    </row>
    <row r="67" spans="1:25" s="60" customFormat="1" ht="20.100000000000001" hidden="1" customHeight="1" thickBot="1" x14ac:dyDescent="0.25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20" t="s">
        <v>78</v>
      </c>
      <c r="M67" s="522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6"/>
    </row>
    <row r="68" spans="1:25" s="60" customFormat="1" ht="34.5" hidden="1" customHeight="1" thickBot="1" x14ac:dyDescent="0.25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6"/>
    </row>
    <row r="69" spans="1:25" s="60" customFormat="1" ht="34.5" hidden="1" customHeight="1" thickBot="1" x14ac:dyDescent="0.25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6"/>
    </row>
    <row r="70" spans="1:25" s="60" customFormat="1" ht="20.100000000000001" hidden="1" customHeight="1" thickBot="1" x14ac:dyDescent="0.25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20" t="s">
        <v>78</v>
      </c>
      <c r="M70" s="522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6"/>
    </row>
    <row r="71" spans="1:25" s="60" customFormat="1" ht="34.5" hidden="1" customHeight="1" thickBot="1" x14ac:dyDescent="0.25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6"/>
    </row>
    <row r="72" spans="1:25" s="60" customFormat="1" ht="20.100000000000001" hidden="1" customHeight="1" thickBot="1" x14ac:dyDescent="0.25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20" t="s">
        <v>78</v>
      </c>
      <c r="M72" s="521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6"/>
    </row>
    <row r="73" spans="1:25" s="62" customFormat="1" ht="34.5" hidden="1" customHeight="1" thickBot="1" x14ac:dyDescent="0.25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 x14ac:dyDescent="0.2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 x14ac:dyDescent="0.25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 x14ac:dyDescent="0.25">
      <c r="C76" s="2"/>
      <c r="D76" s="2"/>
      <c r="E76" s="125" t="s">
        <v>83</v>
      </c>
      <c r="F76" s="511">
        <f>'2ª Fase'!E40:I40</f>
        <v>0</v>
      </c>
      <c r="G76" s="511"/>
      <c r="H76" s="511"/>
      <c r="I76" s="511"/>
      <c r="J76" s="512"/>
      <c r="K76" s="50"/>
      <c r="L76" s="1"/>
      <c r="M76" s="1"/>
    </row>
    <row r="77" spans="1:25" ht="15" customHeight="1" x14ac:dyDescent="0.2">
      <c r="C77" s="2"/>
      <c r="D77" s="2"/>
      <c r="E77" s="126" t="s">
        <v>84</v>
      </c>
      <c r="F77" s="513">
        <f>'2ª Fase'!E41:I41</f>
        <v>0</v>
      </c>
      <c r="G77" s="513"/>
      <c r="H77" s="513"/>
      <c r="I77" s="513"/>
      <c r="J77" s="514"/>
      <c r="K77" s="50"/>
      <c r="L77" s="1"/>
      <c r="M77" s="1"/>
    </row>
    <row r="78" spans="1:25" ht="15" customHeight="1" x14ac:dyDescent="0.2">
      <c r="C78" s="2"/>
      <c r="D78" s="2"/>
      <c r="E78" s="127" t="s">
        <v>102</v>
      </c>
      <c r="F78" s="515">
        <f>'2ª Fase'!E42:I42</f>
        <v>0</v>
      </c>
      <c r="G78" s="515"/>
      <c r="H78" s="515"/>
      <c r="I78" s="515"/>
      <c r="J78" s="516"/>
      <c r="K78" s="50"/>
      <c r="L78" s="1"/>
      <c r="M78" s="1"/>
    </row>
    <row r="79" spans="1:25" ht="15" customHeight="1" thickBot="1" x14ac:dyDescent="0.25">
      <c r="C79" s="2"/>
      <c r="D79" s="2"/>
      <c r="E79" s="128" t="s">
        <v>103</v>
      </c>
      <c r="F79" s="517">
        <f>'2ª Fase'!E43:I43</f>
        <v>0</v>
      </c>
      <c r="G79" s="517"/>
      <c r="H79" s="517"/>
      <c r="I79" s="517"/>
      <c r="J79" s="518"/>
      <c r="K79" s="50"/>
      <c r="L79" s="1"/>
      <c r="M79" s="1"/>
    </row>
    <row r="80" spans="1:25" ht="15" hidden="1" customHeight="1" x14ac:dyDescent="0.2">
      <c r="C80" s="2"/>
      <c r="D80" s="2"/>
      <c r="E80" s="192"/>
      <c r="F80" s="509"/>
      <c r="G80" s="509"/>
      <c r="H80" s="509"/>
      <c r="I80" s="509"/>
      <c r="J80" s="510"/>
      <c r="K80" s="50"/>
      <c r="L80" s="129"/>
      <c r="M80" s="1"/>
    </row>
    <row r="81" spans="3:13" ht="15.75" x14ac:dyDescent="0.2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 x14ac:dyDescent="0.2"/>
    <row r="90" spans="3:13" ht="15.75" customHeight="1" x14ac:dyDescent="0.2"/>
    <row r="91" spans="3:13" ht="15.75" customHeight="1" x14ac:dyDescent="0.2"/>
    <row r="92" spans="3:13" ht="15.75" customHeight="1" x14ac:dyDescent="0.2"/>
    <row r="93" spans="3:13" ht="15.75" customHeight="1" x14ac:dyDescent="0.2"/>
    <row r="94" spans="3:13" ht="15.75" customHeight="1" x14ac:dyDescent="0.2"/>
    <row r="95" spans="3:13" ht="15.75" customHeight="1" x14ac:dyDescent="0.2"/>
    <row r="96" spans="3:13" ht="15.75" customHeight="1" x14ac:dyDescent="0.2"/>
    <row r="117" spans="2:25" s="9" customFormat="1" ht="15.75" hidden="1" x14ac:dyDescent="0.2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L19:M19"/>
    <mergeCell ref="L2:M2"/>
    <mergeCell ref="B1:B2"/>
    <mergeCell ref="C1:C2"/>
    <mergeCell ref="D1:D2"/>
    <mergeCell ref="E1:E2"/>
    <mergeCell ref="F1:J2"/>
    <mergeCell ref="L20:M20"/>
    <mergeCell ref="B3:B8"/>
    <mergeCell ref="L3:M3"/>
    <mergeCell ref="O3:P3"/>
    <mergeCell ref="B9:B14"/>
    <mergeCell ref="L14:M14"/>
    <mergeCell ref="O9:P9"/>
    <mergeCell ref="O15:P15"/>
    <mergeCell ref="B15:B20"/>
    <mergeCell ref="L11:M11"/>
    <mergeCell ref="L12:M12"/>
    <mergeCell ref="L13:M13"/>
    <mergeCell ref="L15:M15"/>
    <mergeCell ref="L16:M16"/>
    <mergeCell ref="L17:M17"/>
    <mergeCell ref="L18:M18"/>
    <mergeCell ref="B21:B26"/>
    <mergeCell ref="B27:B32"/>
    <mergeCell ref="B33:B38"/>
    <mergeCell ref="L26:M26"/>
    <mergeCell ref="L27:M27"/>
    <mergeCell ref="L28:M28"/>
    <mergeCell ref="L29:M29"/>
    <mergeCell ref="L25:M25"/>
    <mergeCell ref="L21:M21"/>
    <mergeCell ref="L22:M22"/>
    <mergeCell ref="L23:M23"/>
    <mergeCell ref="L24:M24"/>
    <mergeCell ref="L30:M30"/>
    <mergeCell ref="L31:M31"/>
    <mergeCell ref="L32:M32"/>
    <mergeCell ref="L33:M33"/>
    <mergeCell ref="L53:M53"/>
    <mergeCell ref="L42:M42"/>
    <mergeCell ref="L43:M43"/>
    <mergeCell ref="L44:M44"/>
    <mergeCell ref="L45:M45"/>
    <mergeCell ref="B39:B44"/>
    <mergeCell ref="B45:B50"/>
    <mergeCell ref="C52:M52"/>
    <mergeCell ref="L41:M41"/>
    <mergeCell ref="L46:M46"/>
    <mergeCell ref="L47:M47"/>
    <mergeCell ref="L48:M48"/>
    <mergeCell ref="L49:M49"/>
    <mergeCell ref="L50:M50"/>
    <mergeCell ref="L39:M39"/>
    <mergeCell ref="L40:M40"/>
    <mergeCell ref="F78:J78"/>
    <mergeCell ref="F79:J79"/>
    <mergeCell ref="F80:J80"/>
    <mergeCell ref="L4:M4"/>
    <mergeCell ref="L5:M5"/>
    <mergeCell ref="L6:M6"/>
    <mergeCell ref="L7:M7"/>
    <mergeCell ref="L8:M8"/>
    <mergeCell ref="L9:M9"/>
    <mergeCell ref="L10:M10"/>
    <mergeCell ref="L62:M62"/>
    <mergeCell ref="L67:M67"/>
    <mergeCell ref="L70:M70"/>
    <mergeCell ref="L72:M72"/>
    <mergeCell ref="F76:J76"/>
    <mergeCell ref="F77:J77"/>
    <mergeCell ref="L34:M34"/>
    <mergeCell ref="L35:M35"/>
    <mergeCell ref="L36:M36"/>
    <mergeCell ref="L37:M37"/>
    <mergeCell ref="L38:M38"/>
    <mergeCell ref="O21:P21"/>
    <mergeCell ref="O27:P27"/>
    <mergeCell ref="O33:P33"/>
    <mergeCell ref="O39:P39"/>
    <mergeCell ref="O45:P45"/>
  </mergeCells>
  <conditionalFormatting sqref="B68:B69 B63:B66 B54:B56 B58:B61 B73 B71">
    <cfRule type="cellIs" dxfId="863" priority="47" stopIfTrue="1" operator="equal">
      <formula>#REF!</formula>
    </cfRule>
  </conditionalFormatting>
  <conditionalFormatting sqref="M54:N54">
    <cfRule type="expression" dxfId="862" priority="46">
      <formula>$H$14="penaltis"</formula>
    </cfRule>
  </conditionalFormatting>
  <conditionalFormatting sqref="L55:N55">
    <cfRule type="expression" dxfId="861" priority="45">
      <formula>$H$15="penaltis"</formula>
    </cfRule>
  </conditionalFormatting>
  <conditionalFormatting sqref="L56:N56">
    <cfRule type="expression" dxfId="860" priority="44">
      <formula>$H$16="penaltis"</formula>
    </cfRule>
  </conditionalFormatting>
  <conditionalFormatting sqref="L57:N57">
    <cfRule type="expression" dxfId="859" priority="43">
      <formula>$H$17="penaltis"</formula>
    </cfRule>
  </conditionalFormatting>
  <conditionalFormatting sqref="L58:N58">
    <cfRule type="expression" dxfId="858" priority="42">
      <formula>$H$18="penaltis"</formula>
    </cfRule>
  </conditionalFormatting>
  <conditionalFormatting sqref="L59:N59">
    <cfRule type="expression" dxfId="857" priority="41">
      <formula>$H$19="penaltis"</formula>
    </cfRule>
  </conditionalFormatting>
  <conditionalFormatting sqref="L60:N60">
    <cfRule type="expression" dxfId="856" priority="40">
      <formula>$H$20="penaltis"</formula>
    </cfRule>
  </conditionalFormatting>
  <conditionalFormatting sqref="L61:N61">
    <cfRule type="expression" dxfId="855" priority="39">
      <formula>$H$21="penaltis"</formula>
    </cfRule>
  </conditionalFormatting>
  <conditionalFormatting sqref="N63">
    <cfRule type="expression" dxfId="854" priority="38">
      <formula>$H$23="penaltis"</formula>
    </cfRule>
  </conditionalFormatting>
  <conditionalFormatting sqref="N64">
    <cfRule type="expression" dxfId="853" priority="37" stopIfTrue="1">
      <formula>$H$24="penaltis"</formula>
    </cfRule>
  </conditionalFormatting>
  <conditionalFormatting sqref="N65">
    <cfRule type="expression" dxfId="852" priority="36" stopIfTrue="1">
      <formula>$H$25="penaltis"</formula>
    </cfRule>
  </conditionalFormatting>
  <conditionalFormatting sqref="N66">
    <cfRule type="expression" dxfId="851" priority="35" stopIfTrue="1">
      <formula>$H$26="penaltis"</formula>
    </cfRule>
  </conditionalFormatting>
  <conditionalFormatting sqref="N68">
    <cfRule type="expression" dxfId="850" priority="34" stopIfTrue="1">
      <formula>$H$28="penaltis"</formula>
    </cfRule>
  </conditionalFormatting>
  <conditionalFormatting sqref="N69">
    <cfRule type="expression" dxfId="849" priority="33" stopIfTrue="1">
      <formula>$H$29="penaltis"</formula>
    </cfRule>
  </conditionalFormatting>
  <conditionalFormatting sqref="N71">
    <cfRule type="expression" dxfId="848" priority="32" stopIfTrue="1">
      <formula>$H$31="penaltis"</formula>
    </cfRule>
  </conditionalFormatting>
  <conditionalFormatting sqref="N73">
    <cfRule type="expression" dxfId="847" priority="31" stopIfTrue="1">
      <formula>$H$33="penaltis"</formula>
    </cfRule>
  </conditionalFormatting>
  <conditionalFormatting sqref="L54:M54">
    <cfRule type="expression" dxfId="846" priority="30" stopIfTrue="1">
      <formula>$K$54="penaltis"</formula>
    </cfRule>
  </conditionalFormatting>
  <conditionalFormatting sqref="L55:M55">
    <cfRule type="expression" dxfId="845" priority="29" stopIfTrue="1">
      <formula>$K$55="penaltis"</formula>
    </cfRule>
  </conditionalFormatting>
  <conditionalFormatting sqref="L56:M56">
    <cfRule type="expression" dxfId="844" priority="28" stopIfTrue="1">
      <formula>$K$56="penaltis"</formula>
    </cfRule>
  </conditionalFormatting>
  <conditionalFormatting sqref="L57:M57">
    <cfRule type="expression" dxfId="843" priority="27" stopIfTrue="1">
      <formula>$K$57="penaltis"</formula>
    </cfRule>
  </conditionalFormatting>
  <conditionalFormatting sqref="L58:M58">
    <cfRule type="expression" dxfId="842" priority="26" stopIfTrue="1">
      <formula>$K$58="penaltis"</formula>
    </cfRule>
  </conditionalFormatting>
  <conditionalFormatting sqref="L59:M59">
    <cfRule type="expression" dxfId="841" priority="25" stopIfTrue="1">
      <formula>$K$59="penaltis"</formula>
    </cfRule>
  </conditionalFormatting>
  <conditionalFormatting sqref="L60:M60">
    <cfRule type="expression" dxfId="840" priority="24" stopIfTrue="1">
      <formula>$K$60="penaltis"</formula>
    </cfRule>
  </conditionalFormatting>
  <conditionalFormatting sqref="L61:M61">
    <cfRule type="expression" dxfId="839" priority="23" stopIfTrue="1">
      <formula>$K$61="penaltis"</formula>
    </cfRule>
  </conditionalFormatting>
  <conditionalFormatting sqref="L63:M63">
    <cfRule type="expression" dxfId="838" priority="22">
      <formula>$K$63="penaltis"</formula>
    </cfRule>
  </conditionalFormatting>
  <conditionalFormatting sqref="L64:M64">
    <cfRule type="expression" dxfId="837" priority="21">
      <formula>$K$64="penaltis"</formula>
    </cfRule>
  </conditionalFormatting>
  <conditionalFormatting sqref="L65:M65">
    <cfRule type="expression" dxfId="836" priority="20">
      <formula>$K$65="penaltis"</formula>
    </cfRule>
  </conditionalFormatting>
  <conditionalFormatting sqref="L66:M66">
    <cfRule type="expression" dxfId="835" priority="19">
      <formula>$K$66="penaltis"</formula>
    </cfRule>
  </conditionalFormatting>
  <conditionalFormatting sqref="L68:M68">
    <cfRule type="expression" dxfId="834" priority="18">
      <formula>$K$68="penaltis"</formula>
    </cfRule>
  </conditionalFormatting>
  <conditionalFormatting sqref="L69:M69">
    <cfRule type="expression" dxfId="833" priority="17">
      <formula>$K$69="penaltis"</formula>
    </cfRule>
  </conditionalFormatting>
  <conditionalFormatting sqref="L71:M71">
    <cfRule type="expression" dxfId="832" priority="16">
      <formula>$K$71="penaltis"</formula>
    </cfRule>
  </conditionalFormatting>
  <conditionalFormatting sqref="L73:M73">
    <cfRule type="expression" dxfId="831" priority="15">
      <formula>$K$73="penaltis"</formula>
    </cfRule>
  </conditionalFormatting>
  <conditionalFormatting sqref="O5:X5 O4 Q4:X4">
    <cfRule type="expression" dxfId="830" priority="14">
      <formula>$R$8=12</formula>
    </cfRule>
  </conditionalFormatting>
  <conditionalFormatting sqref="O10:X11">
    <cfRule type="expression" dxfId="829" priority="13">
      <formula>$R$14=12</formula>
    </cfRule>
  </conditionalFormatting>
  <conditionalFormatting sqref="O16:X17">
    <cfRule type="expression" dxfId="828" priority="12">
      <formula>$R$20=12</formula>
    </cfRule>
  </conditionalFormatting>
  <conditionalFormatting sqref="O22:X23">
    <cfRule type="expression" dxfId="827" priority="11">
      <formula>$R$26=12</formula>
    </cfRule>
  </conditionalFormatting>
  <conditionalFormatting sqref="O28:X29">
    <cfRule type="expression" dxfId="826" priority="10">
      <formula>$R$32=12</formula>
    </cfRule>
  </conditionalFormatting>
  <conditionalFormatting sqref="O34:X35">
    <cfRule type="expression" dxfId="825" priority="9">
      <formula>$R$38=12</formula>
    </cfRule>
  </conditionalFormatting>
  <conditionalFormatting sqref="O40:X41">
    <cfRule type="expression" dxfId="824" priority="8">
      <formula>$R$44=12</formula>
    </cfRule>
  </conditionalFormatting>
  <conditionalFormatting sqref="O46:X46 O47 Q47:X47">
    <cfRule type="expression" dxfId="823" priority="7">
      <formula>$R$50=12</formula>
    </cfRule>
  </conditionalFormatting>
  <conditionalFormatting sqref="F62:J73 B45 B9 B15 B21 B27 B33 B3 F3:F50 J3:J50">
    <cfRule type="cellIs" dxfId="822" priority="48" stopIfTrue="1" operator="equal">
      <formula>#REF!</formula>
    </cfRule>
  </conditionalFormatting>
  <conditionalFormatting sqref="B39">
    <cfRule type="cellIs" dxfId="821" priority="4" stopIfTrue="1" operator="equal">
      <formula>#REF!</formula>
    </cfRule>
  </conditionalFormatting>
  <conditionalFormatting sqref="F54:J61">
    <cfRule type="cellIs" dxfId="820" priority="3" stopIfTrue="1" operator="equal">
      <formula>$Z$7</formula>
    </cfRule>
  </conditionalFormatting>
  <conditionalFormatting sqref="P47">
    <cfRule type="expression" dxfId="819" priority="1">
      <formula>$R$50=12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 xr:uid="{00000000-0002-0000-0400-000000000000}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HW117"/>
  <sheetViews>
    <sheetView topLeftCell="A17" workbookViewId="0">
      <selection activeCell="P47" sqref="P47"/>
    </sheetView>
  </sheetViews>
  <sheetFormatPr defaultColWidth="0" defaultRowHeight="0" customHeight="1" zeroHeight="1" x14ac:dyDescent="0.2"/>
  <cols>
    <col min="1" max="1" width="6.3203125" customWidth="1"/>
    <col min="2" max="2" width="6.05078125" style="5" bestFit="1" customWidth="1"/>
    <col min="3" max="3" width="9.81640625" style="10" bestFit="1" customWidth="1"/>
    <col min="4" max="4" width="5.24609375" style="10" bestFit="1" customWidth="1"/>
    <col min="5" max="5" width="17.75390625" style="10" bestFit="1" customWidth="1"/>
    <col min="6" max="6" width="25.69140625" style="11" customWidth="1"/>
    <col min="7" max="7" width="2.6875" style="42" customWidth="1"/>
    <col min="8" max="8" width="2.6875" customWidth="1"/>
    <col min="9" max="9" width="2.6875" style="42" customWidth="1"/>
    <col min="10" max="10" width="25.69140625" style="12" customWidth="1"/>
    <col min="11" max="11" width="13.31640625" style="51" hidden="1" customWidth="1"/>
    <col min="12" max="13" width="3.2265625" customWidth="1"/>
    <col min="14" max="14" width="2.82421875" style="1" customWidth="1"/>
    <col min="15" max="15" width="2.015625" style="109" bestFit="1" customWidth="1"/>
    <col min="16" max="16" width="26.09765625" style="113" customWidth="1"/>
    <col min="17" max="17" width="4.70703125" style="322" customWidth="1"/>
    <col min="18" max="18" width="3.765625" style="322" customWidth="1"/>
    <col min="19" max="19" width="1.8828125" style="322" customWidth="1"/>
    <col min="20" max="20" width="2.28515625" style="322" customWidth="1"/>
    <col min="21" max="21" width="3.765625" style="322" customWidth="1"/>
    <col min="22" max="22" width="2.015625" style="322" customWidth="1"/>
    <col min="23" max="24" width="3.765625" style="322" hidden="1" customWidth="1"/>
    <col min="25" max="25" width="12.9140625" style="1" customWidth="1"/>
    <col min="26" max="36" width="9.14453125" hidden="1" customWidth="1"/>
    <col min="37" max="37" width="8.47265625" hidden="1" customWidth="1"/>
    <col min="38" max="38" width="8.7421875" hidden="1" customWidth="1"/>
    <col min="39" max="39" width="10.0859375" hidden="1" customWidth="1"/>
    <col min="40" max="230" width="9.14453125" hidden="1" customWidth="1"/>
    <col min="231" max="231" width="7.26171875" hidden="1" customWidth="1"/>
    <col min="232" max="16384" width="9.14453125" hidden="1"/>
  </cols>
  <sheetData>
    <row r="1" spans="1:25" s="58" customFormat="1" ht="15" customHeight="1" x14ac:dyDescent="0.2">
      <c r="B1" s="496" t="s">
        <v>94</v>
      </c>
      <c r="C1" s="498" t="s">
        <v>95</v>
      </c>
      <c r="D1" s="498" t="s">
        <v>74</v>
      </c>
      <c r="E1" s="500" t="s">
        <v>75</v>
      </c>
      <c r="F1" s="487" t="s">
        <v>96</v>
      </c>
      <c r="G1" s="488"/>
      <c r="H1" s="488"/>
      <c r="I1" s="488"/>
      <c r="J1" s="489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 x14ac:dyDescent="0.25">
      <c r="B2" s="497"/>
      <c r="C2" s="499"/>
      <c r="D2" s="499"/>
      <c r="E2" s="501"/>
      <c r="F2" s="490"/>
      <c r="G2" s="491"/>
      <c r="H2" s="491"/>
      <c r="I2" s="491"/>
      <c r="J2" s="492"/>
      <c r="K2" s="51"/>
      <c r="L2" s="493"/>
      <c r="M2" s="494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 x14ac:dyDescent="0.25">
      <c r="A3" s="60" t="s">
        <v>284</v>
      </c>
      <c r="B3" s="48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420">
        <v>1</v>
      </c>
      <c r="H3" s="421" t="s">
        <v>0</v>
      </c>
      <c r="I3" s="430">
        <v>1</v>
      </c>
      <c r="J3" s="77" t="s">
        <v>142</v>
      </c>
      <c r="K3" s="52"/>
      <c r="L3" s="495">
        <f>IF(OR(Copa2022!F11="",G3=""),"",
IF(AND(Copa2022!F11=G3,Copa2022!H11=I3),Regras!$J$25,IF(Y3=Regras!F25,Regras!$J$26,0)))</f>
        <v>0</v>
      </c>
      <c r="M3" s="495"/>
      <c r="N3" s="318"/>
      <c r="O3" s="502" t="s">
        <v>220</v>
      </c>
      <c r="P3" s="526"/>
      <c r="Q3" s="324" t="str">
        <f>IF(Copa2022!F16="","",IF(Copa2022!O12=Laurindo!P4,Regras!$J$27,0))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empate</v>
      </c>
    </row>
    <row r="4" spans="1:25" s="60" customFormat="1" ht="35.1" customHeight="1" x14ac:dyDescent="0.2">
      <c r="A4" s="60" t="s">
        <v>285</v>
      </c>
      <c r="B4" s="485"/>
      <c r="C4" s="171">
        <v>44886</v>
      </c>
      <c r="D4" s="194" t="s">
        <v>134</v>
      </c>
      <c r="E4" s="172" t="s">
        <v>157</v>
      </c>
      <c r="F4" s="78" t="s">
        <v>131</v>
      </c>
      <c r="G4" s="422">
        <v>0</v>
      </c>
      <c r="H4" s="423" t="s">
        <v>0</v>
      </c>
      <c r="I4" s="431">
        <v>2</v>
      </c>
      <c r="J4" s="81" t="s">
        <v>140</v>
      </c>
      <c r="K4" s="52"/>
      <c r="L4" s="495">
        <f>IF(OR(Copa2022!F12="",G4=""),"",
IF(AND(Copa2022!F12=G4,Copa2022!H12=I4),Regras!$J$25,IF(Y4=Regras!F26,Regras!$J$26,0)))</f>
        <v>10</v>
      </c>
      <c r="M4" s="495"/>
      <c r="N4" s="318"/>
      <c r="O4" s="450">
        <v>1</v>
      </c>
      <c r="P4" s="449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 x14ac:dyDescent="0.25">
      <c r="A5" s="60" t="s">
        <v>286</v>
      </c>
      <c r="B5" s="485"/>
      <c r="C5" s="171">
        <v>44890</v>
      </c>
      <c r="D5" s="194" t="s">
        <v>135</v>
      </c>
      <c r="E5" s="172" t="s">
        <v>157</v>
      </c>
      <c r="F5" s="78" t="s">
        <v>141</v>
      </c>
      <c r="G5" s="422">
        <v>0</v>
      </c>
      <c r="H5" s="423" t="s">
        <v>0</v>
      </c>
      <c r="I5" s="431">
        <v>1</v>
      </c>
      <c r="J5" s="81" t="s">
        <v>131</v>
      </c>
      <c r="K5" s="52"/>
      <c r="L5" s="495" t="str">
        <f>IF(OR(Copa2022!F13="",G5=""),"",
IF(AND(Copa2022!F13=G5,Copa2022!H13=I5),Regras!$J$25,IF(Y5=Regras!F27,Regras!$J$26,0)))</f>
        <v/>
      </c>
      <c r="M5" s="495"/>
      <c r="N5" s="318"/>
      <c r="O5" s="453">
        <v>2</v>
      </c>
      <c r="P5" s="454" t="s">
        <v>142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 x14ac:dyDescent="0.2">
      <c r="A6" s="60" t="s">
        <v>287</v>
      </c>
      <c r="B6" s="485"/>
      <c r="C6" s="171">
        <v>44890</v>
      </c>
      <c r="D6" s="194" t="s">
        <v>134</v>
      </c>
      <c r="E6" s="172" t="s">
        <v>143</v>
      </c>
      <c r="F6" s="78" t="s">
        <v>140</v>
      </c>
      <c r="G6" s="422">
        <v>2</v>
      </c>
      <c r="H6" s="423" t="s">
        <v>0</v>
      </c>
      <c r="I6" s="431">
        <v>1</v>
      </c>
      <c r="J6" s="81" t="s">
        <v>142</v>
      </c>
      <c r="K6" s="52"/>
      <c r="L6" s="495" t="str">
        <f>IF(OR(Copa2022!F14="",G6=""),"",
IF(AND(Copa2022!F14=G6,Copa2022!H14=I6),Regras!$J$25,IF(Y6=Regras!F28,Regras!$J$26,0)))</f>
        <v/>
      </c>
      <c r="M6" s="495"/>
      <c r="N6" s="318"/>
      <c r="O6" s="450">
        <v>3</v>
      </c>
      <c r="P6" s="449" t="s">
        <v>131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 x14ac:dyDescent="0.25">
      <c r="A7" s="60" t="s">
        <v>288</v>
      </c>
      <c r="B7" s="485"/>
      <c r="C7" s="171">
        <v>44894</v>
      </c>
      <c r="D7" s="194" t="s">
        <v>132</v>
      </c>
      <c r="E7" s="172" t="s">
        <v>161</v>
      </c>
      <c r="F7" s="78" t="s">
        <v>140</v>
      </c>
      <c r="G7" s="422">
        <v>3</v>
      </c>
      <c r="H7" s="423" t="s">
        <v>0</v>
      </c>
      <c r="I7" s="431">
        <v>0</v>
      </c>
      <c r="J7" s="81" t="s">
        <v>141</v>
      </c>
      <c r="K7" s="52"/>
      <c r="L7" s="495" t="str">
        <f>IF(OR(Copa2022!F15="",G7=""),"",
IF(AND(Copa2022!F15=G7,Copa2022!H15=I7),Regras!$J$25,IF(Y7=Regras!F29,Regras!$J$26,0)))</f>
        <v/>
      </c>
      <c r="M7" s="495"/>
      <c r="N7" s="318"/>
      <c r="O7" s="451">
        <v>4</v>
      </c>
      <c r="P7" s="452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 x14ac:dyDescent="0.25">
      <c r="A8" s="60" t="s">
        <v>289</v>
      </c>
      <c r="B8" s="486"/>
      <c r="C8" s="173">
        <v>44590</v>
      </c>
      <c r="D8" s="195" t="s">
        <v>132</v>
      </c>
      <c r="E8" s="174" t="s">
        <v>143</v>
      </c>
      <c r="F8" s="86" t="s">
        <v>142</v>
      </c>
      <c r="G8" s="426">
        <v>2</v>
      </c>
      <c r="H8" s="427" t="s">
        <v>0</v>
      </c>
      <c r="I8" s="432">
        <v>1</v>
      </c>
      <c r="J8" s="89" t="s">
        <v>131</v>
      </c>
      <c r="K8" s="52"/>
      <c r="L8" s="495" t="str">
        <f>IF(OR(Copa2022!F16="",G8=""),"",
IF(AND(Copa2022!F16=G8,Copa2022!H16=I8),Regras!$J$25,IF(Y8=Regras!F30,Regras!$J$26,0)))</f>
        <v/>
      </c>
      <c r="M8" s="495"/>
      <c r="N8" s="318"/>
      <c r="O8" s="457"/>
      <c r="P8" s="466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 x14ac:dyDescent="0.25">
      <c r="A9" s="60" t="s">
        <v>290</v>
      </c>
      <c r="B9" s="48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424">
        <v>3</v>
      </c>
      <c r="H9" s="425" t="s">
        <v>0</v>
      </c>
      <c r="I9" s="433">
        <v>1</v>
      </c>
      <c r="J9" s="85" t="s">
        <v>123</v>
      </c>
      <c r="K9" s="52"/>
      <c r="L9" s="495">
        <f>IF(OR(Copa2022!F17="",G9=""),"",
IF(AND(Copa2022!F17=G9,Copa2022!H17=I9),Regras!$J$25,IF(Y9=Regras!F31,Regras!$J$26,0)))</f>
        <v>5</v>
      </c>
      <c r="M9" s="495"/>
      <c r="N9" s="318"/>
      <c r="O9" s="502" t="s">
        <v>48</v>
      </c>
      <c r="P9" s="503"/>
      <c r="Q9" s="324" t="str">
        <f>IF(Copa2022!F22="","",IF(Copa2022!O18=Laurindo!P10,Regras!$J$27,0))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 x14ac:dyDescent="0.2">
      <c r="A10" s="60" t="s">
        <v>291</v>
      </c>
      <c r="B10" s="485"/>
      <c r="C10" s="171">
        <v>44886</v>
      </c>
      <c r="D10" s="194" t="s">
        <v>136</v>
      </c>
      <c r="E10" s="177" t="s">
        <v>162</v>
      </c>
      <c r="F10" s="78" t="s">
        <v>145</v>
      </c>
      <c r="G10" s="422">
        <v>1</v>
      </c>
      <c r="H10" s="423" t="s">
        <v>0</v>
      </c>
      <c r="I10" s="431">
        <v>1</v>
      </c>
      <c r="J10" s="81" t="s">
        <v>158</v>
      </c>
      <c r="K10" s="52"/>
      <c r="L10" s="495">
        <f>IF(OR(Copa2022!F18="",G10=""),"",
IF(AND(Copa2022!F18=G10,Copa2022!H18=I10),Regras!$J$25,IF(Y10=Regras!F32,Regras!$J$26,0)))</f>
        <v>10</v>
      </c>
      <c r="M10" s="495"/>
      <c r="N10" s="318"/>
      <c r="O10" s="450">
        <v>1</v>
      </c>
      <c r="P10" s="449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empate</v>
      </c>
    </row>
    <row r="11" spans="1:25" s="60" customFormat="1" ht="35.1" customHeight="1" thickBot="1" x14ac:dyDescent="0.25">
      <c r="A11" s="60" t="s">
        <v>292</v>
      </c>
      <c r="B11" s="485"/>
      <c r="C11" s="171">
        <v>44890</v>
      </c>
      <c r="D11" s="194" t="s">
        <v>133</v>
      </c>
      <c r="E11" s="177" t="s">
        <v>162</v>
      </c>
      <c r="F11" s="78" t="s">
        <v>158</v>
      </c>
      <c r="G11" s="422">
        <v>0</v>
      </c>
      <c r="H11" s="423" t="s">
        <v>0</v>
      </c>
      <c r="I11" s="431">
        <v>0</v>
      </c>
      <c r="J11" s="81" t="s">
        <v>123</v>
      </c>
      <c r="K11" s="52"/>
      <c r="L11" s="495" t="str">
        <f>IF(OR(Copa2022!F19="",G11=""),"",
IF(AND(Copa2022!F19=G11,Copa2022!H19=I11),Regras!$J$25,IF(Y11=Regras!F33,Regras!$J$26,0)))</f>
        <v/>
      </c>
      <c r="M11" s="495"/>
      <c r="N11" s="318"/>
      <c r="O11" s="453">
        <v>2</v>
      </c>
      <c r="P11" s="454" t="s">
        <v>123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 x14ac:dyDescent="0.2">
      <c r="A12" s="60" t="s">
        <v>293</v>
      </c>
      <c r="B12" s="485"/>
      <c r="C12" s="171">
        <v>44890</v>
      </c>
      <c r="D12" s="194" t="s">
        <v>136</v>
      </c>
      <c r="E12" s="177" t="s">
        <v>161</v>
      </c>
      <c r="F12" s="78" t="s">
        <v>6</v>
      </c>
      <c r="G12" s="422">
        <v>2</v>
      </c>
      <c r="H12" s="423" t="s">
        <v>0</v>
      </c>
      <c r="I12" s="431">
        <v>1</v>
      </c>
      <c r="J12" s="81" t="s">
        <v>145</v>
      </c>
      <c r="K12" s="52"/>
      <c r="L12" s="495" t="str">
        <f>IF(OR(Copa2022!F20="",G12=""),"",
IF(AND(Copa2022!F20=G12,Copa2022!H20=I12),Regras!$J$25,IF(Y12=Regras!F34,Regras!$J$26,0)))</f>
        <v/>
      </c>
      <c r="M12" s="495"/>
      <c r="N12" s="318"/>
      <c r="O12" s="450">
        <v>3</v>
      </c>
      <c r="P12" s="449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 x14ac:dyDescent="0.25">
      <c r="A13" s="60" t="s">
        <v>294</v>
      </c>
      <c r="B13" s="485"/>
      <c r="C13" s="171">
        <v>44894</v>
      </c>
      <c r="D13" s="194" t="s">
        <v>136</v>
      </c>
      <c r="E13" s="177" t="s">
        <v>162</v>
      </c>
      <c r="F13" s="78" t="s">
        <v>158</v>
      </c>
      <c r="G13" s="422">
        <v>2</v>
      </c>
      <c r="H13" s="423" t="s">
        <v>0</v>
      </c>
      <c r="I13" s="431">
        <v>2</v>
      </c>
      <c r="J13" s="81" t="s">
        <v>6</v>
      </c>
      <c r="K13" s="52"/>
      <c r="L13" s="495" t="str">
        <f>IF(OR(Copa2022!F21="",G13=""),"",
IF(AND(Copa2022!F21=G13,Copa2022!H21=I13),Regras!$J$25,IF(Y13=Regras!F35,Regras!$J$26,0)))</f>
        <v/>
      </c>
      <c r="M13" s="495"/>
      <c r="N13" s="318"/>
      <c r="O13" s="451">
        <v>4</v>
      </c>
      <c r="P13" s="452" t="s">
        <v>145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 x14ac:dyDescent="0.25">
      <c r="A14" s="60" t="s">
        <v>295</v>
      </c>
      <c r="B14" s="486"/>
      <c r="C14" s="173">
        <v>44894</v>
      </c>
      <c r="D14" s="195" t="s">
        <v>136</v>
      </c>
      <c r="E14" s="178" t="s">
        <v>157</v>
      </c>
      <c r="F14" s="90" t="s">
        <v>123</v>
      </c>
      <c r="G14" s="428">
        <v>2</v>
      </c>
      <c r="H14" s="429" t="s">
        <v>0</v>
      </c>
      <c r="I14" s="434">
        <v>1</v>
      </c>
      <c r="J14" s="93" t="s">
        <v>145</v>
      </c>
      <c r="K14" s="52"/>
      <c r="L14" s="495" t="str">
        <f>IF(OR(Copa2022!F22="",G14=""),"",
IF(AND(Copa2022!F22=G14,Copa2022!H22=I14),Regras!$J$25,IF(Y14=Regras!F36,Regras!$J$26,0)))</f>
        <v/>
      </c>
      <c r="M14" s="495"/>
      <c r="N14" s="318"/>
      <c r="O14" s="438"/>
      <c r="P14" s="449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 x14ac:dyDescent="0.25">
      <c r="A15" s="60" t="s">
        <v>296</v>
      </c>
      <c r="B15" s="48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420">
        <v>2</v>
      </c>
      <c r="H15" s="421" t="s">
        <v>0</v>
      </c>
      <c r="I15" s="430">
        <v>1</v>
      </c>
      <c r="J15" s="77" t="s">
        <v>125</v>
      </c>
      <c r="K15" s="52"/>
      <c r="L15" s="495">
        <f>IF(OR(Copa2022!F23="",G15=""),"",
IF(AND(Copa2022!F23=G15,Copa2022!H23=I15),Regras!$J$25,IF(Y15=Regras!F37,Regras!$J$26,0)))</f>
        <v>0</v>
      </c>
      <c r="M15" s="495"/>
      <c r="N15" s="318"/>
      <c r="O15" s="502" t="s">
        <v>50</v>
      </c>
      <c r="P15" s="503"/>
      <c r="Q15" s="324" t="str">
        <f>IF(Copa2022!F28="","",IF(Copa2022!O24=Laurindo!P16,Regras!$J$27,0))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 x14ac:dyDescent="0.2">
      <c r="A16" s="60" t="s">
        <v>297</v>
      </c>
      <c r="B16" s="485"/>
      <c r="C16" s="171">
        <v>44887</v>
      </c>
      <c r="D16" s="194" t="s">
        <v>134</v>
      </c>
      <c r="E16" s="172" t="s">
        <v>163</v>
      </c>
      <c r="F16" s="78" t="s">
        <v>1</v>
      </c>
      <c r="G16" s="422">
        <v>1</v>
      </c>
      <c r="H16" s="423" t="s">
        <v>0</v>
      </c>
      <c r="I16" s="431">
        <v>0</v>
      </c>
      <c r="J16" s="81" t="s">
        <v>130</v>
      </c>
      <c r="K16" s="52"/>
      <c r="L16" s="495">
        <f>IF(OR(Copa2022!F24="",G16=""),"",
IF(AND(Copa2022!F24=G16,Copa2022!H24=I16),Regras!$J$25,IF(Y16=Regras!F38,Regras!$J$26,0)))</f>
        <v>0</v>
      </c>
      <c r="M16" s="495"/>
      <c r="N16" s="318"/>
      <c r="O16" s="450">
        <v>1</v>
      </c>
      <c r="P16" s="449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México</v>
      </c>
    </row>
    <row r="17" spans="1:25" s="60" customFormat="1" ht="35.1" customHeight="1" thickBot="1" x14ac:dyDescent="0.25">
      <c r="A17" s="60" t="s">
        <v>298</v>
      </c>
      <c r="B17" s="485"/>
      <c r="C17" s="171">
        <v>44891</v>
      </c>
      <c r="D17" s="194" t="s">
        <v>135</v>
      </c>
      <c r="E17" s="172" t="s">
        <v>148</v>
      </c>
      <c r="F17" s="78" t="s">
        <v>130</v>
      </c>
      <c r="G17" s="422">
        <v>2</v>
      </c>
      <c r="H17" s="423" t="s">
        <v>0</v>
      </c>
      <c r="I17" s="431">
        <v>1</v>
      </c>
      <c r="J17" s="81" t="s">
        <v>125</v>
      </c>
      <c r="K17" s="52"/>
      <c r="L17" s="495" t="str">
        <f>IF(OR(Copa2022!F25="",G17=""),"",
IF(AND(Copa2022!F25=G17,Copa2022!H25=I17),Regras!$J$25,IF(Y17=Regras!F39,Regras!$J$26,0)))</f>
        <v/>
      </c>
      <c r="M17" s="495"/>
      <c r="N17" s="318"/>
      <c r="O17" s="453">
        <v>2</v>
      </c>
      <c r="P17" s="454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 x14ac:dyDescent="0.2">
      <c r="A18" s="60" t="s">
        <v>299</v>
      </c>
      <c r="B18" s="485"/>
      <c r="C18" s="171">
        <v>44891</v>
      </c>
      <c r="D18" s="194" t="s">
        <v>136</v>
      </c>
      <c r="E18" s="172" t="s">
        <v>146</v>
      </c>
      <c r="F18" s="78" t="s">
        <v>4</v>
      </c>
      <c r="G18" s="422">
        <v>2</v>
      </c>
      <c r="H18" s="423" t="s">
        <v>0</v>
      </c>
      <c r="I18" s="431">
        <v>1</v>
      </c>
      <c r="J18" s="81" t="s">
        <v>1</v>
      </c>
      <c r="K18" s="52"/>
      <c r="L18" s="495" t="str">
        <f>IF(OR(Copa2022!F26="",G18=""),"",
IF(AND(Copa2022!F26=G18,Copa2022!H26=I18),Regras!$J$25,IF(Y18=Regras!F40,Regras!$J$26,0)))</f>
        <v/>
      </c>
      <c r="M18" s="495"/>
      <c r="N18" s="318"/>
      <c r="O18" s="450">
        <v>3</v>
      </c>
      <c r="P18" s="449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 x14ac:dyDescent="0.25">
      <c r="A19" s="60" t="s">
        <v>300</v>
      </c>
      <c r="B19" s="485"/>
      <c r="C19" s="171">
        <v>44895</v>
      </c>
      <c r="D19" s="194" t="s">
        <v>136</v>
      </c>
      <c r="E19" s="172" t="s">
        <v>163</v>
      </c>
      <c r="F19" s="78" t="s">
        <v>130</v>
      </c>
      <c r="G19" s="422">
        <v>0</v>
      </c>
      <c r="H19" s="423" t="s">
        <v>0</v>
      </c>
      <c r="I19" s="431">
        <v>1</v>
      </c>
      <c r="J19" s="81" t="s">
        <v>4</v>
      </c>
      <c r="K19" s="52"/>
      <c r="L19" s="495" t="str">
        <f>IF(OR(Copa2022!F27="",G19=""),"",
IF(AND(Copa2022!F27=G19,Copa2022!H27=I19),Regras!$J$25,IF(Y19=Regras!F41,Regras!$J$26,0)))</f>
        <v/>
      </c>
      <c r="M19" s="495"/>
      <c r="N19" s="318"/>
      <c r="O19" s="451">
        <v>4</v>
      </c>
      <c r="P19" s="452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 x14ac:dyDescent="0.25">
      <c r="A20" s="60" t="s">
        <v>301</v>
      </c>
      <c r="B20" s="486"/>
      <c r="C20" s="173">
        <v>44895</v>
      </c>
      <c r="D20" s="195" t="s">
        <v>136</v>
      </c>
      <c r="E20" s="174" t="s">
        <v>146</v>
      </c>
      <c r="F20" s="86" t="s">
        <v>125</v>
      </c>
      <c r="G20" s="426">
        <v>2</v>
      </c>
      <c r="H20" s="427" t="s">
        <v>0</v>
      </c>
      <c r="I20" s="432">
        <v>3</v>
      </c>
      <c r="J20" s="89" t="s">
        <v>1</v>
      </c>
      <c r="K20" s="52"/>
      <c r="L20" s="495" t="str">
        <f>IF(OR(Copa2022!F28="",G20=""),"",
IF(AND(Copa2022!F28=G20,Copa2022!H28=I20),Regras!$J$25,IF(Y20=Regras!F42,Regras!$J$26,0)))</f>
        <v/>
      </c>
      <c r="M20" s="495"/>
      <c r="N20" s="318"/>
      <c r="O20" s="438"/>
      <c r="P20" s="449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 x14ac:dyDescent="0.25">
      <c r="A21" s="60" t="s">
        <v>302</v>
      </c>
      <c r="B21" s="48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424">
        <v>1</v>
      </c>
      <c r="H21" s="425" t="s">
        <v>0</v>
      </c>
      <c r="I21" s="433">
        <v>0</v>
      </c>
      <c r="J21" s="85" t="s">
        <v>129</v>
      </c>
      <c r="K21" s="52"/>
      <c r="L21" s="495">
        <f>IF(OR(Copa2022!F29="",G21=""),"",
IF(AND(Copa2022!F29=G21,Copa2022!H29=I21),Regras!$J$25,IF(Y21=Regras!F43,Regras!$J$26,0)))</f>
        <v>0</v>
      </c>
      <c r="M21" s="495"/>
      <c r="N21" s="318"/>
      <c r="O21" s="502" t="s">
        <v>51</v>
      </c>
      <c r="P21" s="503"/>
      <c r="Q21" s="324" t="str">
        <f>IF(Copa2022!F34="","",IF(Copa2022!O30=Laurindo!P22,Regras!$J$27,0))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 x14ac:dyDescent="0.2">
      <c r="A22" s="60" t="s">
        <v>303</v>
      </c>
      <c r="B22" s="485"/>
      <c r="C22" s="171">
        <v>44887</v>
      </c>
      <c r="D22" s="194" t="s">
        <v>136</v>
      </c>
      <c r="E22" s="177" t="s">
        <v>164</v>
      </c>
      <c r="F22" s="78" t="s">
        <v>3</v>
      </c>
      <c r="G22" s="422">
        <v>2</v>
      </c>
      <c r="H22" s="423" t="s">
        <v>0</v>
      </c>
      <c r="I22" s="431">
        <v>0</v>
      </c>
      <c r="J22" s="81" t="s">
        <v>159</v>
      </c>
      <c r="K22" s="52"/>
      <c r="L22" s="495">
        <f>IF(OR(Copa2022!F30="",G22=""),"",
IF(AND(Copa2022!F30=G22,Copa2022!H30=I22),Regras!$J$25,IF(Y22=Regras!F44,Regras!$J$26,0)))</f>
        <v>5</v>
      </c>
      <c r="M22" s="495"/>
      <c r="N22" s="318"/>
      <c r="O22" s="450">
        <v>1</v>
      </c>
      <c r="P22" s="449" t="s">
        <v>127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 x14ac:dyDescent="0.25">
      <c r="A23" s="60" t="s">
        <v>304</v>
      </c>
      <c r="B23" s="485"/>
      <c r="C23" s="171">
        <v>44891</v>
      </c>
      <c r="D23" s="194" t="s">
        <v>133</v>
      </c>
      <c r="E23" s="177" t="s">
        <v>164</v>
      </c>
      <c r="F23" s="78" t="s">
        <v>129</v>
      </c>
      <c r="G23" s="422">
        <v>0</v>
      </c>
      <c r="H23" s="423" t="s">
        <v>0</v>
      </c>
      <c r="I23" s="431">
        <v>0</v>
      </c>
      <c r="J23" s="81" t="s">
        <v>159</v>
      </c>
      <c r="K23" s="52"/>
      <c r="L23" s="495" t="str">
        <f>IF(OR(Copa2022!F31="",G23=""),"",
IF(AND(Copa2022!F31=G23,Copa2022!H31=I23),Regras!$J$25,IF(Y23=Regras!F45,Regras!$J$26,0)))</f>
        <v/>
      </c>
      <c r="M23" s="495"/>
      <c r="N23" s="318"/>
      <c r="O23" s="453">
        <v>2</v>
      </c>
      <c r="P23" s="454" t="s">
        <v>3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 x14ac:dyDescent="0.2">
      <c r="A24" s="60" t="s">
        <v>305</v>
      </c>
      <c r="B24" s="485"/>
      <c r="C24" s="171">
        <v>44891</v>
      </c>
      <c r="D24" s="194" t="s">
        <v>134</v>
      </c>
      <c r="E24" s="177" t="s">
        <v>163</v>
      </c>
      <c r="F24" s="78" t="s">
        <v>3</v>
      </c>
      <c r="G24" s="422">
        <v>0</v>
      </c>
      <c r="H24" s="423" t="s">
        <v>0</v>
      </c>
      <c r="I24" s="431">
        <v>1</v>
      </c>
      <c r="J24" s="81" t="s">
        <v>127</v>
      </c>
      <c r="K24" s="52"/>
      <c r="L24" s="495" t="str">
        <f>IF(OR(Copa2022!F32="",G24=""),"",
IF(AND(Copa2022!F32=G24,Copa2022!H32=I24),Regras!$J$25,IF(Y24=Regras!F46,Regras!$J$26,0)))</f>
        <v/>
      </c>
      <c r="M24" s="495"/>
      <c r="N24" s="318"/>
      <c r="O24" s="450">
        <v>3</v>
      </c>
      <c r="P24" s="449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 x14ac:dyDescent="0.25">
      <c r="A25" s="60" t="s">
        <v>306</v>
      </c>
      <c r="B25" s="485"/>
      <c r="C25" s="171">
        <v>44895</v>
      </c>
      <c r="D25" s="194" t="s">
        <v>132</v>
      </c>
      <c r="E25" s="177" t="s">
        <v>148</v>
      </c>
      <c r="F25" s="78" t="s">
        <v>129</v>
      </c>
      <c r="G25" s="422">
        <v>1</v>
      </c>
      <c r="H25" s="423" t="s">
        <v>0</v>
      </c>
      <c r="I25" s="431">
        <v>3</v>
      </c>
      <c r="J25" s="81" t="s">
        <v>3</v>
      </c>
      <c r="K25" s="52"/>
      <c r="L25" s="495" t="str">
        <f>IF(OR(Copa2022!F33="",G25=""),"",
IF(AND(Copa2022!F33=G25,Copa2022!H33=I25),Regras!$J$25,IF(Y25=Regras!F47,Regras!$J$26,0)))</f>
        <v/>
      </c>
      <c r="M25" s="495"/>
      <c r="N25" s="318"/>
      <c r="O25" s="451">
        <v>4</v>
      </c>
      <c r="P25" s="452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 x14ac:dyDescent="0.25">
      <c r="A26" s="60" t="s">
        <v>307</v>
      </c>
      <c r="B26" s="486"/>
      <c r="C26" s="173">
        <v>44895</v>
      </c>
      <c r="D26" s="195" t="s">
        <v>132</v>
      </c>
      <c r="E26" s="178" t="s">
        <v>164</v>
      </c>
      <c r="F26" s="90" t="s">
        <v>159</v>
      </c>
      <c r="G26" s="428">
        <v>1</v>
      </c>
      <c r="H26" s="429" t="s">
        <v>0</v>
      </c>
      <c r="I26" s="434">
        <v>1</v>
      </c>
      <c r="J26" s="93" t="s">
        <v>127</v>
      </c>
      <c r="K26" s="52"/>
      <c r="L26" s="495" t="str">
        <f>IF(OR(Copa2022!F34="",G26=""),"",
IF(AND(Copa2022!F34=G26,Copa2022!H34=I26),Regras!$J$25,IF(Y26=Regras!F48,Regras!$J$26,0)))</f>
        <v/>
      </c>
      <c r="M26" s="495"/>
      <c r="N26" s="318"/>
      <c r="O26" s="438"/>
      <c r="P26" s="449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 x14ac:dyDescent="0.25">
      <c r="A27" s="60" t="s">
        <v>308</v>
      </c>
      <c r="B27" s="48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420">
        <v>1</v>
      </c>
      <c r="H27" s="421" t="s">
        <v>0</v>
      </c>
      <c r="I27" s="430">
        <v>0</v>
      </c>
      <c r="J27" s="77" t="s">
        <v>8</v>
      </c>
      <c r="K27" s="52"/>
      <c r="L27" s="495" t="str">
        <f>IF(OR(Copa2022!F35="",G27=""),"",
IF(AND(Copa2022!F35=G27,Copa2022!H35=I27),Regras!$J$25,IF(Y27=Regras!F49,Regras!$J$26,0)))</f>
        <v/>
      </c>
      <c r="M27" s="495"/>
      <c r="N27" s="318"/>
      <c r="O27" s="502" t="s">
        <v>53</v>
      </c>
      <c r="P27" s="503"/>
      <c r="Q27" s="324" t="str">
        <f>IF(Copa2022!F40="","",IF(Copa2022!O36=Laurindo!P28,Regras!$J$27,0))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 x14ac:dyDescent="0.2">
      <c r="A28" s="60" t="s">
        <v>309</v>
      </c>
      <c r="B28" s="485"/>
      <c r="C28" s="171">
        <v>44888</v>
      </c>
      <c r="D28" s="194" t="s">
        <v>134</v>
      </c>
      <c r="E28" s="172" t="s">
        <v>157</v>
      </c>
      <c r="F28" s="78" t="s">
        <v>11</v>
      </c>
      <c r="G28" s="422">
        <v>2</v>
      </c>
      <c r="H28" s="423" t="s">
        <v>0</v>
      </c>
      <c r="I28" s="431">
        <v>0</v>
      </c>
      <c r="J28" s="81" t="s">
        <v>160</v>
      </c>
      <c r="K28" s="52"/>
      <c r="L28" s="495" t="str">
        <f>IF(OR(Copa2022!F36="",G28=""),"",
IF(AND(Copa2022!F36=G28,Copa2022!H36=I28),Regras!$J$25,IF(Y28=Regras!F50,Regras!$J$26,0)))</f>
        <v/>
      </c>
      <c r="M28" s="495"/>
      <c r="N28" s="318"/>
      <c r="O28" s="450">
        <v>1</v>
      </c>
      <c r="P28" s="449" t="s">
        <v>11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 x14ac:dyDescent="0.25">
      <c r="A29" s="60" t="s">
        <v>310</v>
      </c>
      <c r="B29" s="485"/>
      <c r="C29" s="171">
        <v>44892</v>
      </c>
      <c r="D29" s="194" t="s">
        <v>133</v>
      </c>
      <c r="E29" s="172" t="s">
        <v>162</v>
      </c>
      <c r="F29" s="78" t="s">
        <v>8</v>
      </c>
      <c r="G29" s="422">
        <v>3</v>
      </c>
      <c r="H29" s="423" t="s">
        <v>0</v>
      </c>
      <c r="I29" s="431">
        <v>2</v>
      </c>
      <c r="J29" s="81" t="s">
        <v>160</v>
      </c>
      <c r="K29" s="52"/>
      <c r="L29" s="495" t="str">
        <f>IF(OR(Copa2022!F37="",G29=""),"",
IF(AND(Copa2022!F37=G29,Copa2022!H37=I29),Regras!$J$25,IF(Y29=Regras!F51,Regras!$J$26,0)))</f>
        <v/>
      </c>
      <c r="M29" s="495"/>
      <c r="N29" s="318"/>
      <c r="O29" s="453">
        <v>2</v>
      </c>
      <c r="P29" s="454" t="s">
        <v>7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 x14ac:dyDescent="0.2">
      <c r="A30" s="60" t="s">
        <v>311</v>
      </c>
      <c r="B30" s="485"/>
      <c r="C30" s="171">
        <v>44892</v>
      </c>
      <c r="D30" s="194" t="s">
        <v>136</v>
      </c>
      <c r="E30" s="172" t="s">
        <v>161</v>
      </c>
      <c r="F30" s="78" t="s">
        <v>11</v>
      </c>
      <c r="G30" s="422">
        <v>2</v>
      </c>
      <c r="H30" s="423" t="s">
        <v>0</v>
      </c>
      <c r="I30" s="431">
        <v>2</v>
      </c>
      <c r="J30" s="81" t="s">
        <v>7</v>
      </c>
      <c r="K30" s="52"/>
      <c r="L30" s="495" t="str">
        <f>IF(OR(Copa2022!F38="",G30=""),"",
IF(AND(Copa2022!F38=G30,Copa2022!H38=I30),Regras!$J$25,IF(Y30=Regras!F52,Regras!$J$26,0)))</f>
        <v/>
      </c>
      <c r="M30" s="495"/>
      <c r="N30" s="318"/>
      <c r="O30" s="450">
        <v>3</v>
      </c>
      <c r="P30" s="449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 x14ac:dyDescent="0.25">
      <c r="A31" s="60" t="s">
        <v>312</v>
      </c>
      <c r="B31" s="485"/>
      <c r="C31" s="171">
        <v>44896</v>
      </c>
      <c r="D31" s="194" t="s">
        <v>136</v>
      </c>
      <c r="E31" s="172" t="s">
        <v>143</v>
      </c>
      <c r="F31" s="78" t="s">
        <v>8</v>
      </c>
      <c r="G31" s="422">
        <v>1</v>
      </c>
      <c r="H31" s="423" t="s">
        <v>0</v>
      </c>
      <c r="I31" s="431">
        <v>3</v>
      </c>
      <c r="J31" s="81" t="s">
        <v>11</v>
      </c>
      <c r="K31" s="52"/>
      <c r="L31" s="495" t="str">
        <f>IF(OR(Copa2022!F39="",G31=""),"",
IF(AND(Copa2022!F39=G31,Copa2022!H39=I31),Regras!$J$25,IF(Y31=Regras!F53,Regras!$J$26,0)))</f>
        <v/>
      </c>
      <c r="M31" s="495"/>
      <c r="N31" s="318"/>
      <c r="O31" s="451">
        <v>4</v>
      </c>
      <c r="P31" s="452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 x14ac:dyDescent="0.25">
      <c r="A32" s="60" t="s">
        <v>313</v>
      </c>
      <c r="B32" s="486"/>
      <c r="C32" s="173">
        <v>44896</v>
      </c>
      <c r="D32" s="195" t="s">
        <v>136</v>
      </c>
      <c r="E32" s="174" t="s">
        <v>161</v>
      </c>
      <c r="F32" s="86" t="s">
        <v>160</v>
      </c>
      <c r="G32" s="426">
        <v>1</v>
      </c>
      <c r="H32" s="427" t="s">
        <v>0</v>
      </c>
      <c r="I32" s="432">
        <v>3</v>
      </c>
      <c r="J32" s="89" t="s">
        <v>7</v>
      </c>
      <c r="K32" s="52"/>
      <c r="L32" s="495" t="str">
        <f>IF(OR(Copa2022!F40="",G32=""),"",
IF(AND(Copa2022!F40=G32,Copa2022!H40=I32),Regras!$J$25,IF(Y32=Regras!F54,Regras!$J$26,0)))</f>
        <v/>
      </c>
      <c r="M32" s="495"/>
      <c r="N32" s="318"/>
      <c r="O32" s="438"/>
      <c r="P32" s="449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 x14ac:dyDescent="0.25">
      <c r="A33" s="60" t="s">
        <v>314</v>
      </c>
      <c r="B33" s="48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424">
        <v>0</v>
      </c>
      <c r="H33" s="425" t="s">
        <v>0</v>
      </c>
      <c r="I33" s="433">
        <v>2</v>
      </c>
      <c r="J33" s="85" t="s">
        <v>70</v>
      </c>
      <c r="K33" s="52"/>
      <c r="L33" s="495" t="str">
        <f>IF(OR(Copa2022!F41="",G33=""),"",
IF(AND(Copa2022!F41=G33,Copa2022!H41=I33),Regras!$J$25,IF(Y33=Regras!F55,Regras!$J$26,0)))</f>
        <v/>
      </c>
      <c r="M33" s="495"/>
      <c r="N33" s="318"/>
      <c r="O33" s="502" t="s">
        <v>56</v>
      </c>
      <c r="P33" s="503"/>
      <c r="Q33" s="324" t="str">
        <f>IF(Copa2022!F46="","",IF(Copa2022!O42=Laurindo!P34,Regras!$J$27,0))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/>
      </c>
    </row>
    <row r="34" spans="1:25" s="60" customFormat="1" ht="35.1" customHeight="1" x14ac:dyDescent="0.2">
      <c r="A34" s="60" t="s">
        <v>315</v>
      </c>
      <c r="B34" s="485"/>
      <c r="C34" s="171">
        <v>44888</v>
      </c>
      <c r="D34" s="194" t="s">
        <v>136</v>
      </c>
      <c r="E34" s="177" t="s">
        <v>162</v>
      </c>
      <c r="F34" s="78" t="s">
        <v>104</v>
      </c>
      <c r="G34" s="422">
        <v>3</v>
      </c>
      <c r="H34" s="423" t="s">
        <v>0</v>
      </c>
      <c r="I34" s="431">
        <v>0</v>
      </c>
      <c r="J34" s="81" t="s">
        <v>150</v>
      </c>
      <c r="K34" s="52"/>
      <c r="L34" s="495" t="str">
        <f>IF(OR(Copa2022!F42="",G34=""),"",
IF(AND(Copa2022!F42=G34,Copa2022!H42=I34),Regras!$J$25,IF(Y34=Regras!F56,Regras!$J$26,0)))</f>
        <v/>
      </c>
      <c r="M34" s="495"/>
      <c r="N34" s="318"/>
      <c r="O34" s="450">
        <v>1</v>
      </c>
      <c r="P34" s="449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 x14ac:dyDescent="0.25">
      <c r="A35" s="60" t="s">
        <v>316</v>
      </c>
      <c r="B35" s="485"/>
      <c r="C35" s="171">
        <v>44892</v>
      </c>
      <c r="D35" s="194" t="s">
        <v>135</v>
      </c>
      <c r="E35" s="177" t="s">
        <v>157</v>
      </c>
      <c r="F35" s="78" t="s">
        <v>104</v>
      </c>
      <c r="G35" s="422">
        <v>4</v>
      </c>
      <c r="H35" s="423" t="s">
        <v>0</v>
      </c>
      <c r="I35" s="431">
        <v>1</v>
      </c>
      <c r="J35" s="81" t="s">
        <v>126</v>
      </c>
      <c r="K35" s="52"/>
      <c r="L35" s="495" t="str">
        <f>IF(OR(Copa2022!F43="",G35=""),"",
IF(AND(Copa2022!F43=G35,Copa2022!H43=I35),Regras!$J$25,IF(Y35=Regras!F57,Regras!$J$26,0)))</f>
        <v/>
      </c>
      <c r="M35" s="495"/>
      <c r="N35" s="318"/>
      <c r="O35" s="453">
        <v>2</v>
      </c>
      <c r="P35" s="454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 x14ac:dyDescent="0.2">
      <c r="A36" s="60" t="s">
        <v>317</v>
      </c>
      <c r="B36" s="485"/>
      <c r="C36" s="171">
        <v>44892</v>
      </c>
      <c r="D36" s="194" t="s">
        <v>134</v>
      </c>
      <c r="E36" s="177" t="s">
        <v>143</v>
      </c>
      <c r="F36" s="78" t="s">
        <v>70</v>
      </c>
      <c r="G36" s="422">
        <v>2</v>
      </c>
      <c r="H36" s="423" t="s">
        <v>0</v>
      </c>
      <c r="I36" s="431">
        <v>1</v>
      </c>
      <c r="J36" s="81" t="s">
        <v>150</v>
      </c>
      <c r="K36" s="52"/>
      <c r="L36" s="495" t="str">
        <f>IF(OR(Copa2022!F44="",G36=""),"",
IF(AND(Copa2022!F44=G36,Copa2022!H44=I36),Regras!$J$25,IF(Y36=Regras!F58,Regras!$J$26,0)))</f>
        <v/>
      </c>
      <c r="M36" s="495"/>
      <c r="N36" s="318"/>
      <c r="O36" s="450">
        <v>3</v>
      </c>
      <c r="P36" s="449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 x14ac:dyDescent="0.25">
      <c r="A37" s="60" t="s">
        <v>318</v>
      </c>
      <c r="B37" s="485"/>
      <c r="C37" s="171">
        <v>44896</v>
      </c>
      <c r="D37" s="194" t="s">
        <v>132</v>
      </c>
      <c r="E37" s="177" t="s">
        <v>162</v>
      </c>
      <c r="F37" s="78" t="s">
        <v>70</v>
      </c>
      <c r="G37" s="422">
        <v>0</v>
      </c>
      <c r="H37" s="423" t="s">
        <v>0</v>
      </c>
      <c r="I37" s="431">
        <v>2</v>
      </c>
      <c r="J37" s="81" t="s">
        <v>104</v>
      </c>
      <c r="K37" s="52"/>
      <c r="L37" s="495" t="str">
        <f>IF(OR(Copa2022!F45="",G37=""),"",
IF(AND(Copa2022!F45=G37,Copa2022!H45=I37),Regras!$J$25,IF(Y37=Regras!F59,Regras!$J$26,0)))</f>
        <v/>
      </c>
      <c r="M37" s="495"/>
      <c r="N37" s="318"/>
      <c r="O37" s="451">
        <v>4</v>
      </c>
      <c r="P37" s="452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 x14ac:dyDescent="0.25">
      <c r="A38" s="60" t="s">
        <v>319</v>
      </c>
      <c r="B38" s="486"/>
      <c r="C38" s="173">
        <v>44896</v>
      </c>
      <c r="D38" s="195" t="s">
        <v>132</v>
      </c>
      <c r="E38" s="178" t="s">
        <v>157</v>
      </c>
      <c r="F38" s="90" t="s">
        <v>150</v>
      </c>
      <c r="G38" s="428">
        <v>1</v>
      </c>
      <c r="H38" s="429" t="s">
        <v>0</v>
      </c>
      <c r="I38" s="434">
        <v>1</v>
      </c>
      <c r="J38" s="93" t="s">
        <v>126</v>
      </c>
      <c r="K38" s="52"/>
      <c r="L38" s="495" t="str">
        <f>IF(OR(Copa2022!F46="",G38=""),"",
IF(AND(Copa2022!F46=G38,Copa2022!H46=I38),Regras!$J$25,IF(Y38=Regras!F60,Regras!$J$26,0)))</f>
        <v/>
      </c>
      <c r="M38" s="495"/>
      <c r="N38" s="318"/>
      <c r="O38" s="438"/>
      <c r="P38" s="449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 x14ac:dyDescent="0.25">
      <c r="A39" s="60" t="s">
        <v>320</v>
      </c>
      <c r="B39" s="48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420">
        <v>2</v>
      </c>
      <c r="H39" s="421" t="s">
        <v>0</v>
      </c>
      <c r="I39" s="430">
        <v>1</v>
      </c>
      <c r="J39" s="77" t="s">
        <v>151</v>
      </c>
      <c r="K39" s="52"/>
      <c r="L39" s="495" t="str">
        <f>IF(OR(Copa2022!F47="",G39=""),"",
IF(AND(Copa2022!F47=G39,Copa2022!H47=I39),Regras!$J$25,IF(Y39=Regras!F61,Regras!$J$26,0)))</f>
        <v/>
      </c>
      <c r="M39" s="495"/>
      <c r="N39" s="318"/>
      <c r="O39" s="502" t="s">
        <v>58</v>
      </c>
      <c r="P39" s="503"/>
      <c r="Q39" s="324" t="str">
        <f>IF(Copa2022!F52="","",IF(Copa2022!O48=Laurindo!P40,Regras!$J$27,0))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 x14ac:dyDescent="0.2">
      <c r="A40" s="60" t="s">
        <v>321</v>
      </c>
      <c r="B40" s="485"/>
      <c r="C40" s="171">
        <v>44889</v>
      </c>
      <c r="D40" s="194" t="s">
        <v>136</v>
      </c>
      <c r="E40" s="172" t="s">
        <v>146</v>
      </c>
      <c r="F40" s="78" t="s">
        <v>10</v>
      </c>
      <c r="G40" s="422">
        <v>2</v>
      </c>
      <c r="H40" s="423" t="s">
        <v>0</v>
      </c>
      <c r="I40" s="431">
        <v>0</v>
      </c>
      <c r="J40" s="81" t="s">
        <v>128</v>
      </c>
      <c r="K40" s="52"/>
      <c r="L40" s="495" t="str">
        <f>IF(OR(Copa2022!F48="",G40=""),"",
IF(AND(Copa2022!F48=G40,Copa2022!H48=I40),Regras!$J$25,IF(Y40=Regras!F62,Regras!$J$26,0)))</f>
        <v/>
      </c>
      <c r="M40" s="495"/>
      <c r="N40" s="318"/>
      <c r="O40" s="455">
        <v>1</v>
      </c>
      <c r="P40" s="456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 x14ac:dyDescent="0.25">
      <c r="A41" s="60" t="s">
        <v>322</v>
      </c>
      <c r="B41" s="485"/>
      <c r="C41" s="171">
        <v>44893</v>
      </c>
      <c r="D41" s="194" t="s">
        <v>133</v>
      </c>
      <c r="E41" s="172" t="s">
        <v>164</v>
      </c>
      <c r="F41" s="78" t="s">
        <v>151</v>
      </c>
      <c r="G41" s="422">
        <v>0</v>
      </c>
      <c r="H41" s="423" t="s">
        <v>0</v>
      </c>
      <c r="I41" s="431">
        <v>0</v>
      </c>
      <c r="J41" s="81" t="s">
        <v>128</v>
      </c>
      <c r="K41" s="52"/>
      <c r="L41" s="495" t="str">
        <f>IF(OR(Copa2022!F49="",G41=""),"",
IF(AND(Copa2022!F49=G41,Copa2022!H49=I41),Regras!$J$25,IF(Y41=Regras!F63,Regras!$J$26,0)))</f>
        <v/>
      </c>
      <c r="M41" s="495"/>
      <c r="N41" s="318"/>
      <c r="O41" s="453">
        <v>2</v>
      </c>
      <c r="P41" s="454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 x14ac:dyDescent="0.2">
      <c r="A42" s="60" t="s">
        <v>323</v>
      </c>
      <c r="B42" s="485"/>
      <c r="C42" s="171">
        <v>44893</v>
      </c>
      <c r="D42" s="194" t="s">
        <v>134</v>
      </c>
      <c r="E42" s="172" t="s">
        <v>163</v>
      </c>
      <c r="F42" s="78" t="s">
        <v>10</v>
      </c>
      <c r="G42" s="422">
        <v>1</v>
      </c>
      <c r="H42" s="423" t="s">
        <v>0</v>
      </c>
      <c r="I42" s="431">
        <v>1</v>
      </c>
      <c r="J42" s="81" t="s">
        <v>12</v>
      </c>
      <c r="K42" s="52"/>
      <c r="L42" s="495" t="str">
        <f>IF(OR(Copa2022!F50="",G42=""),"",
IF(AND(Copa2022!F50=G42,Copa2022!H50=I42),Regras!$J$25,IF(Y42=Regras!F64,Regras!$J$26,0)))</f>
        <v/>
      </c>
      <c r="M42" s="495"/>
      <c r="N42" s="318"/>
      <c r="O42" s="450">
        <v>3</v>
      </c>
      <c r="P42" s="449" t="s">
        <v>151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 x14ac:dyDescent="0.25">
      <c r="A43" s="60" t="s">
        <v>324</v>
      </c>
      <c r="B43" s="485"/>
      <c r="C43" s="171">
        <v>44897</v>
      </c>
      <c r="D43" s="194" t="s">
        <v>136</v>
      </c>
      <c r="E43" s="172" t="s">
        <v>146</v>
      </c>
      <c r="F43" s="78" t="s">
        <v>151</v>
      </c>
      <c r="G43" s="422">
        <v>1</v>
      </c>
      <c r="H43" s="423" t="s">
        <v>0</v>
      </c>
      <c r="I43" s="431">
        <v>3</v>
      </c>
      <c r="J43" s="81" t="s">
        <v>10</v>
      </c>
      <c r="K43" s="52"/>
      <c r="L43" s="495" t="str">
        <f>IF(OR(Copa2022!F51="",G43=""),"",
IF(AND(Copa2022!F51=G43,Copa2022!H51=I43),Regras!$J$25,IF(Y43=Regras!F65,Regras!$J$26,0)))</f>
        <v/>
      </c>
      <c r="M43" s="495"/>
      <c r="N43" s="318"/>
      <c r="O43" s="451">
        <v>4</v>
      </c>
      <c r="P43" s="452" t="s">
        <v>128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 x14ac:dyDescent="0.25">
      <c r="A44" s="60" t="s">
        <v>325</v>
      </c>
      <c r="B44" s="486"/>
      <c r="C44" s="173">
        <v>44897</v>
      </c>
      <c r="D44" s="195" t="s">
        <v>136</v>
      </c>
      <c r="E44" s="174" t="s">
        <v>163</v>
      </c>
      <c r="F44" s="86" t="s">
        <v>128</v>
      </c>
      <c r="G44" s="426">
        <v>0</v>
      </c>
      <c r="H44" s="427" t="s">
        <v>0</v>
      </c>
      <c r="I44" s="432">
        <v>1</v>
      </c>
      <c r="J44" s="89" t="s">
        <v>12</v>
      </c>
      <c r="K44" s="52"/>
      <c r="L44" s="495" t="str">
        <f>IF(OR(Copa2022!F52="",G44=""),"",
IF(AND(Copa2022!F52=G44,Copa2022!H52=I44),Regras!$J$25,IF(Y44=Regras!F66,Regras!$J$26,0)))</f>
        <v/>
      </c>
      <c r="M44" s="495"/>
      <c r="N44" s="318"/>
      <c r="O44" s="438"/>
      <c r="P44" s="449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 x14ac:dyDescent="0.25">
      <c r="A45" s="60" t="s">
        <v>326</v>
      </c>
      <c r="B45" s="48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424">
        <v>2</v>
      </c>
      <c r="H45" s="425" t="s">
        <v>0</v>
      </c>
      <c r="I45" s="433">
        <v>0</v>
      </c>
      <c r="J45" s="85" t="s">
        <v>5</v>
      </c>
      <c r="K45" s="52"/>
      <c r="L45" s="495" t="str">
        <f>IF(OR(Copa2022!F53="",G45=""),"",
IF(AND(Copa2022!F53=G45,Copa2022!H53=I45),Regras!$J$25,IF(Y45=Regras!F67,Regras!$J$26,0)))</f>
        <v/>
      </c>
      <c r="M45" s="495"/>
      <c r="N45" s="318"/>
      <c r="O45" s="502" t="s">
        <v>59</v>
      </c>
      <c r="P45" s="503"/>
      <c r="Q45" s="324" t="str">
        <f>IF(Copa2022!F58="","",IF(Copa2022!O54=Laurindo!P46,Regras!$J$27,0))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 x14ac:dyDescent="0.2">
      <c r="A46" s="60" t="s">
        <v>327</v>
      </c>
      <c r="B46" s="485"/>
      <c r="C46" s="171">
        <v>44889</v>
      </c>
      <c r="D46" s="194" t="s">
        <v>134</v>
      </c>
      <c r="E46" s="177" t="s">
        <v>163</v>
      </c>
      <c r="F46" s="78" t="s">
        <v>9</v>
      </c>
      <c r="G46" s="422">
        <v>2</v>
      </c>
      <c r="H46" s="423" t="s">
        <v>0</v>
      </c>
      <c r="I46" s="431">
        <v>1</v>
      </c>
      <c r="J46" s="81" t="s">
        <v>152</v>
      </c>
      <c r="K46" s="52"/>
      <c r="L46" s="495" t="str">
        <f>IF(OR(Copa2022!F54="",G46=""),"",
IF(AND(Copa2022!F54=G46,Copa2022!H54=I46),Regras!$J$25,IF(Y46=Regras!F68,Regras!$J$26,0)))</f>
        <v/>
      </c>
      <c r="M46" s="495"/>
      <c r="N46" s="318"/>
      <c r="O46" s="450">
        <v>1</v>
      </c>
      <c r="P46" s="449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 x14ac:dyDescent="0.25">
      <c r="A47" s="60" t="s">
        <v>328</v>
      </c>
      <c r="B47" s="485"/>
      <c r="C47" s="171">
        <v>44893</v>
      </c>
      <c r="D47" s="194" t="s">
        <v>135</v>
      </c>
      <c r="E47" s="177" t="s">
        <v>148</v>
      </c>
      <c r="F47" s="78" t="s">
        <v>5</v>
      </c>
      <c r="G47" s="422">
        <v>1</v>
      </c>
      <c r="H47" s="423" t="s">
        <v>0</v>
      </c>
      <c r="I47" s="431">
        <v>2</v>
      </c>
      <c r="J47" s="81" t="s">
        <v>152</v>
      </c>
      <c r="K47" s="52"/>
      <c r="L47" s="495" t="str">
        <f>IF(OR(Copa2022!F55="",G47=""),"",
IF(AND(Copa2022!F55=G47,Copa2022!H55=I47),Regras!$J$25,IF(Y47=Regras!F69,Regras!$J$26,0)))</f>
        <v/>
      </c>
      <c r="M47" s="495"/>
      <c r="N47" s="318"/>
      <c r="O47" s="453">
        <v>2</v>
      </c>
      <c r="P47" s="454" t="s">
        <v>9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 x14ac:dyDescent="0.2">
      <c r="A48" s="60" t="s">
        <v>329</v>
      </c>
      <c r="B48" s="485"/>
      <c r="C48" s="171">
        <v>44893</v>
      </c>
      <c r="D48" s="194" t="s">
        <v>136</v>
      </c>
      <c r="E48" s="177" t="s">
        <v>146</v>
      </c>
      <c r="F48" s="78" t="s">
        <v>9</v>
      </c>
      <c r="G48" s="422">
        <v>1</v>
      </c>
      <c r="H48" s="423" t="s">
        <v>0</v>
      </c>
      <c r="I48" s="431">
        <v>1</v>
      </c>
      <c r="J48" s="81" t="s">
        <v>2</v>
      </c>
      <c r="K48" s="52"/>
      <c r="L48" s="495" t="str">
        <f>IF(OR(Copa2022!F56="",G48=""),"",
IF(AND(Copa2022!F56=G48,Copa2022!H56=I48),Regras!$J$25,IF(Y48=Regras!F70,Regras!$J$26,0)))</f>
        <v/>
      </c>
      <c r="M48" s="495"/>
      <c r="N48" s="318"/>
      <c r="O48" s="450">
        <v>3</v>
      </c>
      <c r="P48" s="449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 x14ac:dyDescent="0.25">
      <c r="A49" s="60" t="s">
        <v>330</v>
      </c>
      <c r="B49" s="485"/>
      <c r="C49" s="171">
        <v>44897</v>
      </c>
      <c r="D49" s="194" t="s">
        <v>132</v>
      </c>
      <c r="E49" s="177" t="s">
        <v>148</v>
      </c>
      <c r="F49" s="78" t="s">
        <v>5</v>
      </c>
      <c r="G49" s="422">
        <v>1</v>
      </c>
      <c r="H49" s="423" t="s">
        <v>0</v>
      </c>
      <c r="I49" s="431">
        <v>3</v>
      </c>
      <c r="J49" s="81" t="s">
        <v>9</v>
      </c>
      <c r="K49" s="52"/>
      <c r="L49" s="495" t="str">
        <f>IF(OR(Copa2022!F57="",G49=""),"",
IF(AND(Copa2022!F57=G49,Copa2022!H57=I49),Regras!$J$25,IF(Y49=Regras!F71,Regras!$J$26,0)))</f>
        <v/>
      </c>
      <c r="M49" s="495"/>
      <c r="N49" s="318"/>
      <c r="O49" s="451">
        <v>4</v>
      </c>
      <c r="P49" s="452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 x14ac:dyDescent="0.25">
      <c r="A50" s="477" t="s">
        <v>331</v>
      </c>
      <c r="B50" s="486"/>
      <c r="C50" s="173">
        <v>44897</v>
      </c>
      <c r="D50" s="195" t="s">
        <v>132</v>
      </c>
      <c r="E50" s="178" t="s">
        <v>164</v>
      </c>
      <c r="F50" s="19" t="s">
        <v>152</v>
      </c>
      <c r="G50" s="435">
        <v>0</v>
      </c>
      <c r="H50" s="436" t="s">
        <v>0</v>
      </c>
      <c r="I50" s="437">
        <v>2</v>
      </c>
      <c r="J50" s="130" t="s">
        <v>2</v>
      </c>
      <c r="K50" s="52"/>
      <c r="L50" s="495" t="str">
        <f>IF(OR(Copa2022!F58="",G50=""),"",
IF(AND(Copa2022!F58=G50,Copa2022!H58=I50),Regras!$J$25,IF(Y50=Regras!F72,Regras!$J$26,0)))</f>
        <v/>
      </c>
      <c r="M50" s="495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x14ac:dyDescent="0.2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 x14ac:dyDescent="0.25">
      <c r="B52" s="44"/>
      <c r="C52" s="506" t="s">
        <v>124</v>
      </c>
      <c r="D52" s="507"/>
      <c r="E52" s="507"/>
      <c r="F52" s="507"/>
      <c r="G52" s="507"/>
      <c r="H52" s="507"/>
      <c r="I52" s="507"/>
      <c r="J52" s="507"/>
      <c r="K52" s="507"/>
      <c r="L52" s="507"/>
      <c r="M52" s="508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 x14ac:dyDescent="0.25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4" t="s">
        <v>78</v>
      </c>
      <c r="M53" s="505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 x14ac:dyDescent="0.25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 x14ac:dyDescent="0.25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 x14ac:dyDescent="0.25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 x14ac:dyDescent="0.25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 x14ac:dyDescent="0.25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 x14ac:dyDescent="0.25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 x14ac:dyDescent="0.25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 x14ac:dyDescent="0.25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 x14ac:dyDescent="0.25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23" t="s">
        <v>78</v>
      </c>
      <c r="M62" s="524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 x14ac:dyDescent="0.25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 x14ac:dyDescent="0.25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 x14ac:dyDescent="0.25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 x14ac:dyDescent="0.25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 x14ac:dyDescent="0.25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20" t="s">
        <v>78</v>
      </c>
      <c r="M67" s="522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 x14ac:dyDescent="0.25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 x14ac:dyDescent="0.25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 x14ac:dyDescent="0.25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20" t="s">
        <v>78</v>
      </c>
      <c r="M70" s="522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 x14ac:dyDescent="0.25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 x14ac:dyDescent="0.25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20" t="s">
        <v>78</v>
      </c>
      <c r="M72" s="521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 x14ac:dyDescent="0.25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 x14ac:dyDescent="0.2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 x14ac:dyDescent="0.25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 x14ac:dyDescent="0.25">
      <c r="C76" s="2"/>
      <c r="D76" s="2"/>
      <c r="E76" s="125" t="s">
        <v>83</v>
      </c>
      <c r="F76" s="511">
        <f>'2ª Fase'!E40:I40</f>
        <v>0</v>
      </c>
      <c r="G76" s="511"/>
      <c r="H76" s="511"/>
      <c r="I76" s="511"/>
      <c r="J76" s="512"/>
      <c r="K76" s="50"/>
      <c r="L76" s="1"/>
      <c r="M76" s="1"/>
    </row>
    <row r="77" spans="1:25" ht="15" customHeight="1" x14ac:dyDescent="0.2">
      <c r="C77" s="2"/>
      <c r="D77" s="2"/>
      <c r="E77" s="126" t="s">
        <v>84</v>
      </c>
      <c r="F77" s="513">
        <f>'2ª Fase'!E41:I41</f>
        <v>0</v>
      </c>
      <c r="G77" s="513"/>
      <c r="H77" s="513"/>
      <c r="I77" s="513"/>
      <c r="J77" s="514"/>
      <c r="K77" s="50"/>
      <c r="L77" s="1"/>
      <c r="M77" s="1"/>
    </row>
    <row r="78" spans="1:25" ht="15" customHeight="1" x14ac:dyDescent="0.2">
      <c r="C78" s="2"/>
      <c r="D78" s="2"/>
      <c r="E78" s="127" t="s">
        <v>102</v>
      </c>
      <c r="F78" s="515">
        <f>'2ª Fase'!E42:I42</f>
        <v>0</v>
      </c>
      <c r="G78" s="515"/>
      <c r="H78" s="515"/>
      <c r="I78" s="515"/>
      <c r="J78" s="516"/>
      <c r="K78" s="50"/>
      <c r="L78" s="1"/>
      <c r="M78" s="1"/>
    </row>
    <row r="79" spans="1:25" ht="15" customHeight="1" thickBot="1" x14ac:dyDescent="0.25">
      <c r="C79" s="2"/>
      <c r="D79" s="2"/>
      <c r="E79" s="128" t="s">
        <v>103</v>
      </c>
      <c r="F79" s="517">
        <f>'2ª Fase'!E43:I43</f>
        <v>0</v>
      </c>
      <c r="G79" s="517"/>
      <c r="H79" s="517"/>
      <c r="I79" s="517"/>
      <c r="J79" s="518"/>
      <c r="K79" s="50"/>
      <c r="L79" s="1"/>
      <c r="M79" s="1"/>
    </row>
    <row r="80" spans="1:25" ht="15" hidden="1" customHeight="1" x14ac:dyDescent="0.2">
      <c r="C80" s="2"/>
      <c r="D80" s="2"/>
      <c r="E80" s="192"/>
      <c r="F80" s="509"/>
      <c r="G80" s="509"/>
      <c r="H80" s="509"/>
      <c r="I80" s="509"/>
      <c r="J80" s="510"/>
      <c r="K80" s="50"/>
      <c r="L80" s="129"/>
      <c r="M80" s="1"/>
    </row>
    <row r="81" spans="3:13" ht="15.75" x14ac:dyDescent="0.2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 x14ac:dyDescent="0.2"/>
    <row r="90" spans="3:13" ht="15.75" customHeight="1" x14ac:dyDescent="0.2"/>
    <row r="91" spans="3:13" ht="15.75" customHeight="1" x14ac:dyDescent="0.2"/>
    <row r="92" spans="3:13" ht="15.75" customHeight="1" x14ac:dyDescent="0.2"/>
    <row r="93" spans="3:13" ht="15.75" customHeight="1" x14ac:dyDescent="0.2"/>
    <row r="94" spans="3:13" ht="15.75" customHeight="1" x14ac:dyDescent="0.2"/>
    <row r="95" spans="3:13" ht="15.75" customHeight="1" x14ac:dyDescent="0.2"/>
    <row r="96" spans="3:13" ht="15.75" customHeight="1" x14ac:dyDescent="0.2"/>
    <row r="117" spans="2:25" s="9" customFormat="1" ht="15.75" hidden="1" x14ac:dyDescent="0.2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F80:J80"/>
    <mergeCell ref="O45:P45"/>
    <mergeCell ref="F76:J76"/>
    <mergeCell ref="F77:J77"/>
    <mergeCell ref="F78:J78"/>
    <mergeCell ref="F79:J79"/>
    <mergeCell ref="L72:M72"/>
    <mergeCell ref="C52:M52"/>
    <mergeCell ref="L53:M53"/>
    <mergeCell ref="L62:M62"/>
    <mergeCell ref="L67:M67"/>
    <mergeCell ref="L70:M70"/>
    <mergeCell ref="B45:B50"/>
    <mergeCell ref="L45:M45"/>
    <mergeCell ref="L46:M46"/>
    <mergeCell ref="L47:M47"/>
    <mergeCell ref="L48:M48"/>
    <mergeCell ref="L49:M49"/>
    <mergeCell ref="L50:M50"/>
    <mergeCell ref="O33:P33"/>
    <mergeCell ref="B39:B44"/>
    <mergeCell ref="L39:M39"/>
    <mergeCell ref="L40:M40"/>
    <mergeCell ref="L41:M41"/>
    <mergeCell ref="L42:M42"/>
    <mergeCell ref="L43:M43"/>
    <mergeCell ref="L44:M44"/>
    <mergeCell ref="O39:P39"/>
    <mergeCell ref="B33:B38"/>
    <mergeCell ref="L33:M33"/>
    <mergeCell ref="L34:M34"/>
    <mergeCell ref="L35:M35"/>
    <mergeCell ref="L36:M36"/>
    <mergeCell ref="L37:M37"/>
    <mergeCell ref="L38:M38"/>
    <mergeCell ref="O21:P21"/>
    <mergeCell ref="B27:B32"/>
    <mergeCell ref="L27:M27"/>
    <mergeCell ref="L28:M28"/>
    <mergeCell ref="L29:M29"/>
    <mergeCell ref="L30:M30"/>
    <mergeCell ref="L31:M31"/>
    <mergeCell ref="L32:M32"/>
    <mergeCell ref="O27:P27"/>
    <mergeCell ref="B21:B26"/>
    <mergeCell ref="L21:M21"/>
    <mergeCell ref="L22:M22"/>
    <mergeCell ref="L23:M23"/>
    <mergeCell ref="L24:M24"/>
    <mergeCell ref="L25:M25"/>
    <mergeCell ref="L26:M26"/>
    <mergeCell ref="O9:P9"/>
    <mergeCell ref="B15:B20"/>
    <mergeCell ref="L15:M15"/>
    <mergeCell ref="L16:M16"/>
    <mergeCell ref="L17:M17"/>
    <mergeCell ref="L18:M18"/>
    <mergeCell ref="L19:M19"/>
    <mergeCell ref="L20:M20"/>
    <mergeCell ref="O15:P15"/>
    <mergeCell ref="B9:B14"/>
    <mergeCell ref="L9:M9"/>
    <mergeCell ref="L10:M10"/>
    <mergeCell ref="L11:M11"/>
    <mergeCell ref="L12:M12"/>
    <mergeCell ref="L13:M13"/>
    <mergeCell ref="L14:M14"/>
    <mergeCell ref="B3:B8"/>
    <mergeCell ref="L3:M3"/>
    <mergeCell ref="O3:P3"/>
    <mergeCell ref="L4:M4"/>
    <mergeCell ref="L5:M5"/>
    <mergeCell ref="L6:M6"/>
    <mergeCell ref="L7:M7"/>
    <mergeCell ref="L8:M8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818" priority="43" stopIfTrue="1" operator="equal">
      <formula>#REF!</formula>
    </cfRule>
  </conditionalFormatting>
  <conditionalFormatting sqref="M54:N54">
    <cfRule type="expression" dxfId="817" priority="42">
      <formula>$H$14="penaltis"</formula>
    </cfRule>
  </conditionalFormatting>
  <conditionalFormatting sqref="L55:N55">
    <cfRule type="expression" dxfId="816" priority="41">
      <formula>$H$15="penaltis"</formula>
    </cfRule>
  </conditionalFormatting>
  <conditionalFormatting sqref="L56:N56">
    <cfRule type="expression" dxfId="815" priority="40">
      <formula>$H$16="penaltis"</formula>
    </cfRule>
  </conditionalFormatting>
  <conditionalFormatting sqref="L57:N57">
    <cfRule type="expression" dxfId="814" priority="39">
      <formula>$H$17="penaltis"</formula>
    </cfRule>
  </conditionalFormatting>
  <conditionalFormatting sqref="L58:N58">
    <cfRule type="expression" dxfId="813" priority="38">
      <formula>$H$18="penaltis"</formula>
    </cfRule>
  </conditionalFormatting>
  <conditionalFormatting sqref="L59:N59">
    <cfRule type="expression" dxfId="812" priority="37">
      <formula>$H$19="penaltis"</formula>
    </cfRule>
  </conditionalFormatting>
  <conditionalFormatting sqref="L60:N60">
    <cfRule type="expression" dxfId="811" priority="36">
      <formula>$H$20="penaltis"</formula>
    </cfRule>
  </conditionalFormatting>
  <conditionalFormatting sqref="L61:N61">
    <cfRule type="expression" dxfId="810" priority="35">
      <formula>$H$21="penaltis"</formula>
    </cfRule>
  </conditionalFormatting>
  <conditionalFormatting sqref="N63">
    <cfRule type="expression" dxfId="809" priority="34">
      <formula>$H$23="penaltis"</formula>
    </cfRule>
  </conditionalFormatting>
  <conditionalFormatting sqref="N64">
    <cfRule type="expression" dxfId="808" priority="33" stopIfTrue="1">
      <formula>$H$24="penaltis"</formula>
    </cfRule>
  </conditionalFormatting>
  <conditionalFormatting sqref="N65">
    <cfRule type="expression" dxfId="807" priority="32" stopIfTrue="1">
      <formula>$H$25="penaltis"</formula>
    </cfRule>
  </conditionalFormatting>
  <conditionalFormatting sqref="N66">
    <cfRule type="expression" dxfId="806" priority="31" stopIfTrue="1">
      <formula>$H$26="penaltis"</formula>
    </cfRule>
  </conditionalFormatting>
  <conditionalFormatting sqref="N68">
    <cfRule type="expression" dxfId="805" priority="30" stopIfTrue="1">
      <formula>$H$28="penaltis"</formula>
    </cfRule>
  </conditionalFormatting>
  <conditionalFormatting sqref="N69">
    <cfRule type="expression" dxfId="804" priority="29" stopIfTrue="1">
      <formula>$H$29="penaltis"</formula>
    </cfRule>
  </conditionalFormatting>
  <conditionalFormatting sqref="N71">
    <cfRule type="expression" dxfId="803" priority="28" stopIfTrue="1">
      <formula>$H$31="penaltis"</formula>
    </cfRule>
  </conditionalFormatting>
  <conditionalFormatting sqref="N73">
    <cfRule type="expression" dxfId="802" priority="27" stopIfTrue="1">
      <formula>$H$33="penaltis"</formula>
    </cfRule>
  </conditionalFormatting>
  <conditionalFormatting sqref="L54:M54">
    <cfRule type="expression" dxfId="801" priority="26" stopIfTrue="1">
      <formula>$K$54="penaltis"</formula>
    </cfRule>
  </conditionalFormatting>
  <conditionalFormatting sqref="L55:M55">
    <cfRule type="expression" dxfId="800" priority="25" stopIfTrue="1">
      <formula>$K$55="penaltis"</formula>
    </cfRule>
  </conditionalFormatting>
  <conditionalFormatting sqref="L56:M56">
    <cfRule type="expression" dxfId="799" priority="24" stopIfTrue="1">
      <formula>$K$56="penaltis"</formula>
    </cfRule>
  </conditionalFormatting>
  <conditionalFormatting sqref="L57:M57">
    <cfRule type="expression" dxfId="798" priority="23" stopIfTrue="1">
      <formula>$K$57="penaltis"</formula>
    </cfRule>
  </conditionalFormatting>
  <conditionalFormatting sqref="L58:M58">
    <cfRule type="expression" dxfId="797" priority="22" stopIfTrue="1">
      <formula>$K$58="penaltis"</formula>
    </cfRule>
  </conditionalFormatting>
  <conditionalFormatting sqref="L59:M59">
    <cfRule type="expression" dxfId="796" priority="21" stopIfTrue="1">
      <formula>$K$59="penaltis"</formula>
    </cfRule>
  </conditionalFormatting>
  <conditionalFormatting sqref="L60:M60">
    <cfRule type="expression" dxfId="795" priority="20" stopIfTrue="1">
      <formula>$K$60="penaltis"</formula>
    </cfRule>
  </conditionalFormatting>
  <conditionalFormatting sqref="L61:M61">
    <cfRule type="expression" dxfId="794" priority="19" stopIfTrue="1">
      <formula>$K$61="penaltis"</formula>
    </cfRule>
  </conditionalFormatting>
  <conditionalFormatting sqref="L63:M63">
    <cfRule type="expression" dxfId="793" priority="18">
      <formula>$K$63="penaltis"</formula>
    </cfRule>
  </conditionalFormatting>
  <conditionalFormatting sqref="L64:M64">
    <cfRule type="expression" dxfId="792" priority="17">
      <formula>$K$64="penaltis"</formula>
    </cfRule>
  </conditionalFormatting>
  <conditionalFormatting sqref="L65:M65">
    <cfRule type="expression" dxfId="791" priority="16">
      <formula>$K$65="penaltis"</formula>
    </cfRule>
  </conditionalFormatting>
  <conditionalFormatting sqref="L66:M66">
    <cfRule type="expression" dxfId="790" priority="15">
      <formula>$K$66="penaltis"</formula>
    </cfRule>
  </conditionalFormatting>
  <conditionalFormatting sqref="L68:M68">
    <cfRule type="expression" dxfId="789" priority="14">
      <formula>$K$68="penaltis"</formula>
    </cfRule>
  </conditionalFormatting>
  <conditionalFormatting sqref="L69:M69">
    <cfRule type="expression" dxfId="788" priority="13">
      <formula>$K$69="penaltis"</formula>
    </cfRule>
  </conditionalFormatting>
  <conditionalFormatting sqref="L71:M71">
    <cfRule type="expression" dxfId="787" priority="12">
      <formula>$K$71="penaltis"</formula>
    </cfRule>
  </conditionalFormatting>
  <conditionalFormatting sqref="L73:M73">
    <cfRule type="expression" dxfId="786" priority="11">
      <formula>$K$73="penaltis"</formula>
    </cfRule>
  </conditionalFormatting>
  <conditionalFormatting sqref="O4:X5">
    <cfRule type="expression" dxfId="785" priority="10">
      <formula>$R$8=12</formula>
    </cfRule>
  </conditionalFormatting>
  <conditionalFormatting sqref="O10:X11">
    <cfRule type="expression" dxfId="784" priority="9">
      <formula>$R$14=12</formula>
    </cfRule>
  </conditionalFormatting>
  <conditionalFormatting sqref="O16:X17">
    <cfRule type="expression" dxfId="783" priority="8">
      <formula>$R$20=12</formula>
    </cfRule>
  </conditionalFormatting>
  <conditionalFormatting sqref="O22:X23">
    <cfRule type="expression" dxfId="782" priority="7">
      <formula>$R$26=12</formula>
    </cfRule>
  </conditionalFormatting>
  <conditionalFormatting sqref="O28:X29">
    <cfRule type="expression" dxfId="781" priority="6">
      <formula>$R$32=12</formula>
    </cfRule>
  </conditionalFormatting>
  <conditionalFormatting sqref="O34:X35">
    <cfRule type="expression" dxfId="780" priority="5">
      <formula>$R$38=12</formula>
    </cfRule>
  </conditionalFormatting>
  <conditionalFormatting sqref="O40:X41">
    <cfRule type="expression" dxfId="779" priority="4">
      <formula>$R$44=12</formula>
    </cfRule>
  </conditionalFormatting>
  <conditionalFormatting sqref="O46:X47">
    <cfRule type="expression" dxfId="778" priority="3">
      <formula>$R$50=12</formula>
    </cfRule>
  </conditionalFormatting>
  <conditionalFormatting sqref="F62:J73 B45 B9 B15 B21 B27 B33 B3 F3:F50 J3:J50">
    <cfRule type="cellIs" dxfId="777" priority="44" stopIfTrue="1" operator="equal">
      <formula>#REF!</formula>
    </cfRule>
  </conditionalFormatting>
  <conditionalFormatting sqref="B39">
    <cfRule type="cellIs" dxfId="776" priority="2" stopIfTrue="1" operator="equal">
      <formula>#REF!</formula>
    </cfRule>
  </conditionalFormatting>
  <conditionalFormatting sqref="F54:J61">
    <cfRule type="cellIs" dxfId="775" priority="1" stopIfTrue="1" operator="equal">
      <formula>$Z$7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 xr:uid="{00000000-0002-0000-0500-000000000000}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HW117"/>
  <sheetViews>
    <sheetView topLeftCell="A5" workbookViewId="0">
      <selection activeCell="E46" sqref="E46"/>
    </sheetView>
  </sheetViews>
  <sheetFormatPr defaultColWidth="0" defaultRowHeight="0" customHeight="1" zeroHeight="1" x14ac:dyDescent="0.2"/>
  <cols>
    <col min="1" max="1" width="6.3203125" customWidth="1"/>
    <col min="2" max="2" width="6.05078125" style="5" bestFit="1" customWidth="1"/>
    <col min="3" max="3" width="9.81640625" style="10" bestFit="1" customWidth="1"/>
    <col min="4" max="4" width="5.24609375" style="10" bestFit="1" customWidth="1"/>
    <col min="5" max="5" width="17.75390625" style="10" bestFit="1" customWidth="1"/>
    <col min="6" max="6" width="25.69140625" style="11" customWidth="1"/>
    <col min="7" max="7" width="2.6875" style="42" customWidth="1"/>
    <col min="8" max="8" width="2.6875" customWidth="1"/>
    <col min="9" max="9" width="2.6875" style="42" customWidth="1"/>
    <col min="10" max="10" width="25.69140625" style="12" customWidth="1"/>
    <col min="11" max="11" width="13.31640625" style="51" hidden="1" customWidth="1"/>
    <col min="12" max="13" width="3.2265625" customWidth="1"/>
    <col min="14" max="14" width="2.82421875" style="1" customWidth="1"/>
    <col min="15" max="15" width="2.015625" style="109" bestFit="1" customWidth="1"/>
    <col min="16" max="16" width="26.09765625" style="113" customWidth="1"/>
    <col min="17" max="17" width="4.70703125" style="322" customWidth="1"/>
    <col min="18" max="18" width="3.765625" style="322" customWidth="1"/>
    <col min="19" max="19" width="1.8828125" style="322" customWidth="1"/>
    <col min="20" max="20" width="2.28515625" style="322" customWidth="1"/>
    <col min="21" max="21" width="3.765625" style="322" customWidth="1"/>
    <col min="22" max="22" width="2.015625" style="322" customWidth="1"/>
    <col min="23" max="24" width="3.765625" style="322" hidden="1" customWidth="1"/>
    <col min="25" max="25" width="12.9140625" style="1" customWidth="1"/>
    <col min="26" max="36" width="9.14453125" hidden="1" customWidth="1"/>
    <col min="37" max="37" width="8.47265625" hidden="1" customWidth="1"/>
    <col min="38" max="38" width="8.7421875" hidden="1" customWidth="1"/>
    <col min="39" max="39" width="10.0859375" hidden="1" customWidth="1"/>
    <col min="40" max="230" width="9.14453125" hidden="1" customWidth="1"/>
    <col min="231" max="231" width="7.26171875" hidden="1" customWidth="1"/>
    <col min="232" max="16384" width="9.14453125" hidden="1"/>
  </cols>
  <sheetData>
    <row r="1" spans="1:25" s="58" customFormat="1" ht="15" customHeight="1" x14ac:dyDescent="0.2">
      <c r="B1" s="496" t="s">
        <v>94</v>
      </c>
      <c r="C1" s="498" t="s">
        <v>95</v>
      </c>
      <c r="D1" s="498" t="s">
        <v>74</v>
      </c>
      <c r="E1" s="500" t="s">
        <v>75</v>
      </c>
      <c r="F1" s="487" t="s">
        <v>96</v>
      </c>
      <c r="G1" s="488"/>
      <c r="H1" s="488"/>
      <c r="I1" s="488"/>
      <c r="J1" s="489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 x14ac:dyDescent="0.25">
      <c r="B2" s="497"/>
      <c r="C2" s="499"/>
      <c r="D2" s="499"/>
      <c r="E2" s="501"/>
      <c r="F2" s="490"/>
      <c r="G2" s="491"/>
      <c r="H2" s="491"/>
      <c r="I2" s="491"/>
      <c r="J2" s="492"/>
      <c r="K2" s="51"/>
      <c r="L2" s="493"/>
      <c r="M2" s="494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Top="1" thickBot="1" x14ac:dyDescent="0.25">
      <c r="A3" s="60" t="s">
        <v>284</v>
      </c>
      <c r="B3" s="48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467">
        <v>0</v>
      </c>
      <c r="H3" s="76" t="s">
        <v>0</v>
      </c>
      <c r="I3" s="471">
        <v>2</v>
      </c>
      <c r="J3" s="77" t="s">
        <v>142</v>
      </c>
      <c r="K3" s="52"/>
      <c r="L3" s="495">
        <f>IF(OR(Copa2022!F11="",G3=""),"",
IF(AND(Copa2022!F11=G3,Copa2022!H11=I3),Regras!$J$25,IF(Y3=Regras!F25,Regras!$J$26,0)))</f>
        <v>10</v>
      </c>
      <c r="M3" s="495"/>
      <c r="N3" s="318"/>
      <c r="O3" s="502" t="s">
        <v>220</v>
      </c>
      <c r="P3" s="526"/>
      <c r="Q3" s="324" t="str">
        <f>IF(Copa2022!F16="","",IF(Copa2022!O12=Priscilla!P4,Regras!$J$27,0))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 x14ac:dyDescent="0.2">
      <c r="A4" s="60" t="s">
        <v>285</v>
      </c>
      <c r="B4" s="485"/>
      <c r="C4" s="171">
        <v>44886</v>
      </c>
      <c r="D4" s="194" t="s">
        <v>134</v>
      </c>
      <c r="E4" s="172" t="s">
        <v>157</v>
      </c>
      <c r="F4" s="78" t="s">
        <v>131</v>
      </c>
      <c r="G4" s="468">
        <v>1</v>
      </c>
      <c r="H4" s="80" t="s">
        <v>0</v>
      </c>
      <c r="I4" s="472">
        <v>2</v>
      </c>
      <c r="J4" s="81" t="s">
        <v>140</v>
      </c>
      <c r="K4" s="52"/>
      <c r="L4" s="495">
        <f>IF(OR(Copa2022!F12="",G4=""),"",
IF(AND(Copa2022!F12=G4,Copa2022!H12=I4),Regras!$J$25,IF(Y4=Regras!F26,Regras!$J$26,0)))</f>
        <v>5</v>
      </c>
      <c r="M4" s="495"/>
      <c r="N4" s="318"/>
      <c r="O4" s="450">
        <v>1</v>
      </c>
      <c r="P4" s="449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 x14ac:dyDescent="0.25">
      <c r="A5" s="60" t="s">
        <v>286</v>
      </c>
      <c r="B5" s="485"/>
      <c r="C5" s="171">
        <v>44890</v>
      </c>
      <c r="D5" s="194" t="s">
        <v>135</v>
      </c>
      <c r="E5" s="172" t="s">
        <v>157</v>
      </c>
      <c r="F5" s="78" t="s">
        <v>141</v>
      </c>
      <c r="G5" s="468">
        <v>1</v>
      </c>
      <c r="H5" s="80" t="s">
        <v>0</v>
      </c>
      <c r="I5" s="472">
        <v>2</v>
      </c>
      <c r="J5" s="81" t="s">
        <v>131</v>
      </c>
      <c r="K5" s="52"/>
      <c r="L5" s="495" t="str">
        <f>IF(OR(Copa2022!F13="",G5=""),"",
IF(AND(Copa2022!F13=G5,Copa2022!H13=I5),Regras!$J$25,IF(Y5=Regras!F27,Regras!$J$26,0)))</f>
        <v/>
      </c>
      <c r="M5" s="495"/>
      <c r="N5" s="318"/>
      <c r="O5" s="453">
        <v>2</v>
      </c>
      <c r="P5" s="454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 x14ac:dyDescent="0.2">
      <c r="A6" s="60" t="s">
        <v>287</v>
      </c>
      <c r="B6" s="485"/>
      <c r="C6" s="171">
        <v>44890</v>
      </c>
      <c r="D6" s="194" t="s">
        <v>134</v>
      </c>
      <c r="E6" s="172" t="s">
        <v>143</v>
      </c>
      <c r="F6" s="78" t="s">
        <v>140</v>
      </c>
      <c r="G6" s="468">
        <v>2</v>
      </c>
      <c r="H6" s="80" t="s">
        <v>0</v>
      </c>
      <c r="I6" s="472">
        <v>0</v>
      </c>
      <c r="J6" s="81" t="s">
        <v>142</v>
      </c>
      <c r="K6" s="52"/>
      <c r="L6" s="495" t="str">
        <f>IF(OR(Copa2022!F14="",G6=""),"",
IF(AND(Copa2022!F14=G6,Copa2022!H14=I6),Regras!$J$25,IF(Y6=Regras!F28,Regras!$J$26,0)))</f>
        <v/>
      </c>
      <c r="M6" s="495"/>
      <c r="N6" s="318"/>
      <c r="O6" s="450">
        <v>3</v>
      </c>
      <c r="P6" s="449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 x14ac:dyDescent="0.25">
      <c r="A7" s="60" t="s">
        <v>288</v>
      </c>
      <c r="B7" s="485"/>
      <c r="C7" s="171">
        <v>44894</v>
      </c>
      <c r="D7" s="194" t="s">
        <v>132</v>
      </c>
      <c r="E7" s="172" t="s">
        <v>161</v>
      </c>
      <c r="F7" s="78" t="s">
        <v>140</v>
      </c>
      <c r="G7" s="468">
        <v>2</v>
      </c>
      <c r="H7" s="80" t="s">
        <v>0</v>
      </c>
      <c r="I7" s="472">
        <v>0</v>
      </c>
      <c r="J7" s="81" t="s">
        <v>141</v>
      </c>
      <c r="K7" s="52"/>
      <c r="L7" s="495" t="str">
        <f>IF(OR(Copa2022!F15="",G7=""),"",
IF(AND(Copa2022!F15=G7,Copa2022!H15=I7),Regras!$J$25,IF(Y7=Regras!F29,Regras!$J$26,0)))</f>
        <v/>
      </c>
      <c r="M7" s="495"/>
      <c r="N7" s="318"/>
      <c r="O7" s="451">
        <v>4</v>
      </c>
      <c r="P7" s="452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 x14ac:dyDescent="0.25">
      <c r="A8" s="60" t="s">
        <v>289</v>
      </c>
      <c r="B8" s="486"/>
      <c r="C8" s="173">
        <v>44590</v>
      </c>
      <c r="D8" s="195" t="s">
        <v>132</v>
      </c>
      <c r="E8" s="174" t="s">
        <v>143</v>
      </c>
      <c r="F8" s="86" t="s">
        <v>142</v>
      </c>
      <c r="G8" s="469">
        <v>1</v>
      </c>
      <c r="H8" s="88" t="s">
        <v>0</v>
      </c>
      <c r="I8" s="473">
        <v>2</v>
      </c>
      <c r="J8" s="89" t="s">
        <v>131</v>
      </c>
      <c r="K8" s="52"/>
      <c r="L8" s="495" t="str">
        <f>IF(OR(Copa2022!F16="",G8=""),"",
IF(AND(Copa2022!F16=G8,Copa2022!H16=I8),Regras!$J$25,IF(Y8=Regras!F30,Regras!$J$26,0)))</f>
        <v/>
      </c>
      <c r="M8" s="495"/>
      <c r="N8" s="318"/>
      <c r="O8" s="457"/>
      <c r="P8" s="466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 x14ac:dyDescent="0.25">
      <c r="A9" s="60" t="s">
        <v>290</v>
      </c>
      <c r="B9" s="48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468">
        <v>3</v>
      </c>
      <c r="H9" s="84" t="s">
        <v>0</v>
      </c>
      <c r="I9" s="472">
        <v>1</v>
      </c>
      <c r="J9" s="85" t="s">
        <v>123</v>
      </c>
      <c r="K9" s="52"/>
      <c r="L9" s="495">
        <f>IF(OR(Copa2022!F17="",G9=""),"",
IF(AND(Copa2022!F17=G9,Copa2022!H17=I9),Regras!$J$25,IF(Y9=Regras!F31,Regras!$J$26,0)))</f>
        <v>5</v>
      </c>
      <c r="M9" s="495"/>
      <c r="N9" s="318"/>
      <c r="O9" s="502" t="s">
        <v>48</v>
      </c>
      <c r="P9" s="503"/>
      <c r="Q9" s="324" t="str">
        <f>IF(Copa2022!F22="","",IF(Copa2022!O18=Priscilla!P10,Regras!$J$27,0))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 x14ac:dyDescent="0.2">
      <c r="A10" s="60" t="s">
        <v>291</v>
      </c>
      <c r="B10" s="485"/>
      <c r="C10" s="171">
        <v>44886</v>
      </c>
      <c r="D10" s="194" t="s">
        <v>136</v>
      </c>
      <c r="E10" s="177" t="s">
        <v>162</v>
      </c>
      <c r="F10" s="78" t="s">
        <v>145</v>
      </c>
      <c r="G10" s="468">
        <v>2</v>
      </c>
      <c r="H10" s="80" t="s">
        <v>0</v>
      </c>
      <c r="I10" s="472">
        <v>1</v>
      </c>
      <c r="J10" s="81" t="s">
        <v>158</v>
      </c>
      <c r="K10" s="52"/>
      <c r="L10" s="495">
        <f>IF(OR(Copa2022!F18="",G10=""),"",
IF(AND(Copa2022!F18=G10,Copa2022!H18=I10),Regras!$J$25,IF(Y10=Regras!F32,Regras!$J$26,0)))</f>
        <v>0</v>
      </c>
      <c r="M10" s="495"/>
      <c r="N10" s="318"/>
      <c r="O10" s="450">
        <v>1</v>
      </c>
      <c r="P10" s="449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Estados Unidos</v>
      </c>
    </row>
    <row r="11" spans="1:25" s="60" customFormat="1" ht="35.1" customHeight="1" thickBot="1" x14ac:dyDescent="0.25">
      <c r="A11" s="60" t="s">
        <v>292</v>
      </c>
      <c r="B11" s="485"/>
      <c r="C11" s="171">
        <v>44890</v>
      </c>
      <c r="D11" s="194" t="s">
        <v>133</v>
      </c>
      <c r="E11" s="177" t="s">
        <v>162</v>
      </c>
      <c r="F11" s="78" t="s">
        <v>158</v>
      </c>
      <c r="G11" s="468">
        <v>2</v>
      </c>
      <c r="H11" s="80" t="s">
        <v>0</v>
      </c>
      <c r="I11" s="472">
        <v>0</v>
      </c>
      <c r="J11" s="81" t="s">
        <v>123</v>
      </c>
      <c r="K11" s="52"/>
      <c r="L11" s="495" t="str">
        <f>IF(OR(Copa2022!F19="",G11=""),"",
IF(AND(Copa2022!F19=G11,Copa2022!H19=I11),Regras!$J$25,IF(Y11=Regras!F33,Regras!$J$26,0)))</f>
        <v/>
      </c>
      <c r="M11" s="495"/>
      <c r="N11" s="318"/>
      <c r="O11" s="453">
        <v>2</v>
      </c>
      <c r="P11" s="454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 x14ac:dyDescent="0.2">
      <c r="A12" s="60" t="s">
        <v>293</v>
      </c>
      <c r="B12" s="485"/>
      <c r="C12" s="171">
        <v>44890</v>
      </c>
      <c r="D12" s="194" t="s">
        <v>136</v>
      </c>
      <c r="E12" s="177" t="s">
        <v>161</v>
      </c>
      <c r="F12" s="78" t="s">
        <v>6</v>
      </c>
      <c r="G12" s="468">
        <v>2</v>
      </c>
      <c r="H12" s="80" t="s">
        <v>0</v>
      </c>
      <c r="I12" s="472">
        <v>0</v>
      </c>
      <c r="J12" s="81" t="s">
        <v>145</v>
      </c>
      <c r="K12" s="52"/>
      <c r="L12" s="495" t="str">
        <f>IF(OR(Copa2022!F20="",G12=""),"",
IF(AND(Copa2022!F20=G12,Copa2022!H20=I12),Regras!$J$25,IF(Y12=Regras!F34,Regras!$J$26,0)))</f>
        <v/>
      </c>
      <c r="M12" s="495"/>
      <c r="N12" s="318"/>
      <c r="O12" s="450">
        <v>3</v>
      </c>
      <c r="P12" s="449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 x14ac:dyDescent="0.25">
      <c r="A13" s="60" t="s">
        <v>294</v>
      </c>
      <c r="B13" s="485"/>
      <c r="C13" s="171">
        <v>44894</v>
      </c>
      <c r="D13" s="194" t="s">
        <v>136</v>
      </c>
      <c r="E13" s="177" t="s">
        <v>162</v>
      </c>
      <c r="F13" s="78" t="s">
        <v>158</v>
      </c>
      <c r="G13" s="468">
        <v>0</v>
      </c>
      <c r="H13" s="80" t="s">
        <v>0</v>
      </c>
      <c r="I13" s="472">
        <v>1</v>
      </c>
      <c r="J13" s="81" t="s">
        <v>6</v>
      </c>
      <c r="K13" s="52"/>
      <c r="L13" s="495" t="str">
        <f>IF(OR(Copa2022!F21="",G13=""),"",
IF(AND(Copa2022!F21=G13,Copa2022!H21=I13),Regras!$J$25,IF(Y13=Regras!F35,Regras!$J$26,0)))</f>
        <v/>
      </c>
      <c r="M13" s="495"/>
      <c r="N13" s="318"/>
      <c r="O13" s="451">
        <v>4</v>
      </c>
      <c r="P13" s="452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 x14ac:dyDescent="0.25">
      <c r="A14" s="60" t="s">
        <v>295</v>
      </c>
      <c r="B14" s="486"/>
      <c r="C14" s="173">
        <v>44894</v>
      </c>
      <c r="D14" s="195" t="s">
        <v>136</v>
      </c>
      <c r="E14" s="178" t="s">
        <v>157</v>
      </c>
      <c r="F14" s="90" t="s">
        <v>123</v>
      </c>
      <c r="G14" s="469">
        <v>1</v>
      </c>
      <c r="H14" s="92" t="s">
        <v>0</v>
      </c>
      <c r="I14" s="473">
        <v>2</v>
      </c>
      <c r="J14" s="93" t="s">
        <v>145</v>
      </c>
      <c r="K14" s="52"/>
      <c r="L14" s="495" t="str">
        <f>IF(OR(Copa2022!F22="",G14=""),"",
IF(AND(Copa2022!F22=G14,Copa2022!H22=I14),Regras!$J$25,IF(Y14=Regras!F36,Regras!$J$26,0)))</f>
        <v/>
      </c>
      <c r="M14" s="495"/>
      <c r="N14" s="318"/>
      <c r="O14" s="438"/>
      <c r="P14" s="449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 x14ac:dyDescent="0.25">
      <c r="A15" s="60" t="s">
        <v>296</v>
      </c>
      <c r="B15" s="48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468">
        <v>3</v>
      </c>
      <c r="H15" s="76" t="s">
        <v>0</v>
      </c>
      <c r="I15" s="472">
        <v>0</v>
      </c>
      <c r="J15" s="77" t="s">
        <v>125</v>
      </c>
      <c r="K15" s="52"/>
      <c r="L15" s="495">
        <f>IF(OR(Copa2022!F23="",G15=""),"",
IF(AND(Copa2022!F23=G15,Copa2022!H23=I15),Regras!$J$25,IF(Y15=Regras!F37,Regras!$J$26,0)))</f>
        <v>0</v>
      </c>
      <c r="M15" s="495"/>
      <c r="N15" s="318"/>
      <c r="O15" s="502" t="s">
        <v>50</v>
      </c>
      <c r="P15" s="503"/>
      <c r="Q15" s="324" t="str">
        <f>IF(Copa2022!F28="","",IF(Copa2022!O24=Priscilla!P16,Regras!$J$27,0))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 x14ac:dyDescent="0.2">
      <c r="A16" s="60" t="s">
        <v>297</v>
      </c>
      <c r="B16" s="485"/>
      <c r="C16" s="171">
        <v>44887</v>
      </c>
      <c r="D16" s="194" t="s">
        <v>134</v>
      </c>
      <c r="E16" s="172" t="s">
        <v>163</v>
      </c>
      <c r="F16" s="78" t="s">
        <v>1</v>
      </c>
      <c r="G16" s="468">
        <v>3</v>
      </c>
      <c r="H16" s="80" t="s">
        <v>0</v>
      </c>
      <c r="I16" s="472">
        <v>1</v>
      </c>
      <c r="J16" s="81" t="s">
        <v>130</v>
      </c>
      <c r="K16" s="52"/>
      <c r="L16" s="495">
        <f>IF(OR(Copa2022!F24="",G16=""),"",
IF(AND(Copa2022!F24=G16,Copa2022!H24=I16),Regras!$J$25,IF(Y16=Regras!F38,Regras!$J$26,0)))</f>
        <v>0</v>
      </c>
      <c r="M16" s="495"/>
      <c r="N16" s="318"/>
      <c r="O16" s="450">
        <v>1</v>
      </c>
      <c r="P16" s="449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México</v>
      </c>
    </row>
    <row r="17" spans="1:25" s="60" customFormat="1" ht="35.1" customHeight="1" thickBot="1" x14ac:dyDescent="0.25">
      <c r="A17" s="60" t="s">
        <v>298</v>
      </c>
      <c r="B17" s="485"/>
      <c r="C17" s="171">
        <v>44891</v>
      </c>
      <c r="D17" s="194" t="s">
        <v>135</v>
      </c>
      <c r="E17" s="172" t="s">
        <v>148</v>
      </c>
      <c r="F17" s="78" t="s">
        <v>130</v>
      </c>
      <c r="G17" s="468">
        <v>2</v>
      </c>
      <c r="H17" s="80" t="s">
        <v>0</v>
      </c>
      <c r="I17" s="472">
        <v>1</v>
      </c>
      <c r="J17" s="81" t="s">
        <v>125</v>
      </c>
      <c r="K17" s="52"/>
      <c r="L17" s="495" t="str">
        <f>IF(OR(Copa2022!F25="",G17=""),"",
IF(AND(Copa2022!F25=G17,Copa2022!H25=I17),Regras!$J$25,IF(Y17=Regras!F39,Regras!$J$26,0)))</f>
        <v/>
      </c>
      <c r="M17" s="495"/>
      <c r="N17" s="318"/>
      <c r="O17" s="453">
        <v>2</v>
      </c>
      <c r="P17" s="454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 x14ac:dyDescent="0.2">
      <c r="A18" s="60" t="s">
        <v>299</v>
      </c>
      <c r="B18" s="485"/>
      <c r="C18" s="171">
        <v>44891</v>
      </c>
      <c r="D18" s="194" t="s">
        <v>136</v>
      </c>
      <c r="E18" s="172" t="s">
        <v>146</v>
      </c>
      <c r="F18" s="78" t="s">
        <v>4</v>
      </c>
      <c r="G18" s="468">
        <v>2</v>
      </c>
      <c r="H18" s="80" t="s">
        <v>0</v>
      </c>
      <c r="I18" s="472">
        <v>0</v>
      </c>
      <c r="J18" s="81" t="s">
        <v>1</v>
      </c>
      <c r="K18" s="52"/>
      <c r="L18" s="495" t="str">
        <f>IF(OR(Copa2022!F26="",G18=""),"",
IF(AND(Copa2022!F26=G18,Copa2022!H26=I18),Regras!$J$25,IF(Y18=Regras!F40,Regras!$J$26,0)))</f>
        <v/>
      </c>
      <c r="M18" s="495"/>
      <c r="N18" s="318"/>
      <c r="O18" s="450">
        <v>3</v>
      </c>
      <c r="P18" s="449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 x14ac:dyDescent="0.25">
      <c r="A19" s="60" t="s">
        <v>300</v>
      </c>
      <c r="B19" s="485"/>
      <c r="C19" s="171">
        <v>44895</v>
      </c>
      <c r="D19" s="194" t="s">
        <v>136</v>
      </c>
      <c r="E19" s="172" t="s">
        <v>163</v>
      </c>
      <c r="F19" s="78" t="s">
        <v>130</v>
      </c>
      <c r="G19" s="468">
        <v>1</v>
      </c>
      <c r="H19" s="80" t="s">
        <v>0</v>
      </c>
      <c r="I19" s="472">
        <v>2</v>
      </c>
      <c r="J19" s="81" t="s">
        <v>4</v>
      </c>
      <c r="K19" s="52"/>
      <c r="L19" s="495" t="str">
        <f>IF(OR(Copa2022!F27="",G19=""),"",
IF(AND(Copa2022!F27=G19,Copa2022!H27=I19),Regras!$J$25,IF(Y19=Regras!F41,Regras!$J$26,0)))</f>
        <v/>
      </c>
      <c r="M19" s="495"/>
      <c r="N19" s="318"/>
      <c r="O19" s="451">
        <v>4</v>
      </c>
      <c r="P19" s="452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 x14ac:dyDescent="0.25">
      <c r="A20" s="60" t="s">
        <v>301</v>
      </c>
      <c r="B20" s="486"/>
      <c r="C20" s="173">
        <v>44895</v>
      </c>
      <c r="D20" s="195" t="s">
        <v>136</v>
      </c>
      <c r="E20" s="174" t="s">
        <v>146</v>
      </c>
      <c r="F20" s="86" t="s">
        <v>125</v>
      </c>
      <c r="G20" s="469">
        <v>1</v>
      </c>
      <c r="H20" s="88" t="s">
        <v>0</v>
      </c>
      <c r="I20" s="473">
        <v>2</v>
      </c>
      <c r="J20" s="89" t="s">
        <v>1</v>
      </c>
      <c r="K20" s="52"/>
      <c r="L20" s="495" t="str">
        <f>IF(OR(Copa2022!F28="",G20=""),"",
IF(AND(Copa2022!F28=G20,Copa2022!H28=I20),Regras!$J$25,IF(Y20=Regras!F42,Regras!$J$26,0)))</f>
        <v/>
      </c>
      <c r="M20" s="495"/>
      <c r="N20" s="318"/>
      <c r="O20" s="438"/>
      <c r="P20" s="449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 x14ac:dyDescent="0.25">
      <c r="A21" s="60" t="s">
        <v>302</v>
      </c>
      <c r="B21" s="48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468">
        <v>2</v>
      </c>
      <c r="H21" s="84" t="s">
        <v>0</v>
      </c>
      <c r="I21" s="472">
        <v>1</v>
      </c>
      <c r="J21" s="85" t="s">
        <v>129</v>
      </c>
      <c r="K21" s="52"/>
      <c r="L21" s="495">
        <f>IF(OR(Copa2022!F29="",G21=""),"",
IF(AND(Copa2022!F29=G21,Copa2022!H29=I21),Regras!$J$25,IF(Y21=Regras!F43,Regras!$J$26,0)))</f>
        <v>0</v>
      </c>
      <c r="M21" s="495"/>
      <c r="N21" s="318"/>
      <c r="O21" s="502" t="s">
        <v>51</v>
      </c>
      <c r="P21" s="503"/>
      <c r="Q21" s="324" t="str">
        <f>IF(Copa2022!F34="","",IF(Copa2022!O30=Priscilla!P22,Regras!$J$27,0))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 x14ac:dyDescent="0.2">
      <c r="A22" s="60" t="s">
        <v>303</v>
      </c>
      <c r="B22" s="485"/>
      <c r="C22" s="171">
        <v>44887</v>
      </c>
      <c r="D22" s="194" t="s">
        <v>136</v>
      </c>
      <c r="E22" s="177" t="s">
        <v>164</v>
      </c>
      <c r="F22" s="78" t="s">
        <v>3</v>
      </c>
      <c r="G22" s="468">
        <v>3</v>
      </c>
      <c r="H22" s="80" t="s">
        <v>0</v>
      </c>
      <c r="I22" s="472">
        <v>1</v>
      </c>
      <c r="J22" s="81" t="s">
        <v>159</v>
      </c>
      <c r="K22" s="52"/>
      <c r="L22" s="495">
        <f>IF(OR(Copa2022!F30="",G22=""),"",
IF(AND(Copa2022!F30=G22,Copa2022!H30=I22),Regras!$J$25,IF(Y22=Regras!F44,Regras!$J$26,0)))</f>
        <v>5</v>
      </c>
      <c r="M22" s="495"/>
      <c r="N22" s="318"/>
      <c r="O22" s="450">
        <v>1</v>
      </c>
      <c r="P22" s="449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 x14ac:dyDescent="0.25">
      <c r="A23" s="60" t="s">
        <v>304</v>
      </c>
      <c r="B23" s="485"/>
      <c r="C23" s="171">
        <v>44891</v>
      </c>
      <c r="D23" s="194" t="s">
        <v>133</v>
      </c>
      <c r="E23" s="177" t="s">
        <v>164</v>
      </c>
      <c r="F23" s="78" t="s">
        <v>129</v>
      </c>
      <c r="G23" s="468">
        <v>1</v>
      </c>
      <c r="H23" s="80" t="s">
        <v>0</v>
      </c>
      <c r="I23" s="472">
        <v>1</v>
      </c>
      <c r="J23" s="81" t="s">
        <v>159</v>
      </c>
      <c r="K23" s="52"/>
      <c r="L23" s="495" t="str">
        <f>IF(OR(Copa2022!F31="",G23=""),"",
IF(AND(Copa2022!F31=G23,Copa2022!H31=I23),Regras!$J$25,IF(Y23=Regras!F45,Regras!$J$26,0)))</f>
        <v/>
      </c>
      <c r="M23" s="495"/>
      <c r="N23" s="318"/>
      <c r="O23" s="453">
        <v>2</v>
      </c>
      <c r="P23" s="454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 x14ac:dyDescent="0.2">
      <c r="A24" s="60" t="s">
        <v>305</v>
      </c>
      <c r="B24" s="485"/>
      <c r="C24" s="171">
        <v>44891</v>
      </c>
      <c r="D24" s="194" t="s">
        <v>134</v>
      </c>
      <c r="E24" s="177" t="s">
        <v>163</v>
      </c>
      <c r="F24" s="78" t="s">
        <v>3</v>
      </c>
      <c r="G24" s="468">
        <v>2</v>
      </c>
      <c r="H24" s="80" t="s">
        <v>0</v>
      </c>
      <c r="I24" s="472">
        <v>1</v>
      </c>
      <c r="J24" s="81" t="s">
        <v>127</v>
      </c>
      <c r="K24" s="52"/>
      <c r="L24" s="495" t="str">
        <f>IF(OR(Copa2022!F32="",G24=""),"",
IF(AND(Copa2022!F32=G24,Copa2022!H32=I24),Regras!$J$25,IF(Y24=Regras!F46,Regras!$J$26,0)))</f>
        <v/>
      </c>
      <c r="M24" s="495"/>
      <c r="N24" s="318"/>
      <c r="O24" s="450">
        <v>3</v>
      </c>
      <c r="P24" s="449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 x14ac:dyDescent="0.25">
      <c r="A25" s="60" t="s">
        <v>306</v>
      </c>
      <c r="B25" s="485"/>
      <c r="C25" s="171">
        <v>44895</v>
      </c>
      <c r="D25" s="194" t="s">
        <v>132</v>
      </c>
      <c r="E25" s="177" t="s">
        <v>148</v>
      </c>
      <c r="F25" s="78" t="s">
        <v>129</v>
      </c>
      <c r="G25" s="468">
        <v>0</v>
      </c>
      <c r="H25" s="80" t="s">
        <v>0</v>
      </c>
      <c r="I25" s="472">
        <v>2</v>
      </c>
      <c r="J25" s="81" t="s">
        <v>3</v>
      </c>
      <c r="K25" s="52"/>
      <c r="L25" s="495" t="str">
        <f>IF(OR(Copa2022!F33="",G25=""),"",
IF(AND(Copa2022!F33=G25,Copa2022!H33=I25),Regras!$J$25,IF(Y25=Regras!F47,Regras!$J$26,0)))</f>
        <v/>
      </c>
      <c r="M25" s="495"/>
      <c r="N25" s="318"/>
      <c r="O25" s="451">
        <v>4</v>
      </c>
      <c r="P25" s="452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 x14ac:dyDescent="0.25">
      <c r="A26" s="60" t="s">
        <v>307</v>
      </c>
      <c r="B26" s="486"/>
      <c r="C26" s="173">
        <v>44895</v>
      </c>
      <c r="D26" s="195" t="s">
        <v>132</v>
      </c>
      <c r="E26" s="178" t="s">
        <v>164</v>
      </c>
      <c r="F26" s="90" t="s">
        <v>159</v>
      </c>
      <c r="G26" s="469">
        <v>2</v>
      </c>
      <c r="H26" s="92" t="s">
        <v>0</v>
      </c>
      <c r="I26" s="473">
        <v>3</v>
      </c>
      <c r="J26" s="93" t="s">
        <v>127</v>
      </c>
      <c r="K26" s="52"/>
      <c r="L26" s="495" t="str">
        <f>IF(OR(Copa2022!F34="",G26=""),"",
IF(AND(Copa2022!F34=G26,Copa2022!H34=I26),Regras!$J$25,IF(Y26=Regras!F48,Regras!$J$26,0)))</f>
        <v/>
      </c>
      <c r="M26" s="495"/>
      <c r="N26" s="318"/>
      <c r="O26" s="438"/>
      <c r="P26" s="449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 x14ac:dyDescent="0.25">
      <c r="A27" s="60" t="s">
        <v>308</v>
      </c>
      <c r="B27" s="48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468">
        <v>2</v>
      </c>
      <c r="H27" s="76" t="s">
        <v>0</v>
      </c>
      <c r="I27" s="472">
        <v>1</v>
      </c>
      <c r="J27" s="77" t="s">
        <v>8</v>
      </c>
      <c r="K27" s="52"/>
      <c r="L27" s="495" t="str">
        <f>IF(OR(Copa2022!F35="",G27=""),"",
IF(AND(Copa2022!F35=G27,Copa2022!H35=I27),Regras!$J$25,IF(Y27=Regras!F49,Regras!$J$26,0)))</f>
        <v/>
      </c>
      <c r="M27" s="495"/>
      <c r="N27" s="318"/>
      <c r="O27" s="502" t="s">
        <v>53</v>
      </c>
      <c r="P27" s="503"/>
      <c r="Q27" s="324" t="str">
        <f>IF(Copa2022!F40="","",IF(Copa2022!O36=Priscilla!P28,Regras!$J$27,0))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 x14ac:dyDescent="0.2">
      <c r="A28" s="60" t="s">
        <v>309</v>
      </c>
      <c r="B28" s="485"/>
      <c r="C28" s="171">
        <v>44888</v>
      </c>
      <c r="D28" s="194" t="s">
        <v>134</v>
      </c>
      <c r="E28" s="172" t="s">
        <v>157</v>
      </c>
      <c r="F28" s="78" t="s">
        <v>11</v>
      </c>
      <c r="G28" s="468">
        <v>2</v>
      </c>
      <c r="H28" s="80" t="s">
        <v>0</v>
      </c>
      <c r="I28" s="472">
        <v>0</v>
      </c>
      <c r="J28" s="81" t="s">
        <v>160</v>
      </c>
      <c r="K28" s="52"/>
      <c r="L28" s="495" t="str">
        <f>IF(OR(Copa2022!F36="",G28=""),"",
IF(AND(Copa2022!F36=G28,Copa2022!H36=I28),Regras!$J$25,IF(Y28=Regras!F50,Regras!$J$26,0)))</f>
        <v/>
      </c>
      <c r="M28" s="495"/>
      <c r="N28" s="318"/>
      <c r="O28" s="450">
        <v>1</v>
      </c>
      <c r="P28" s="449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 x14ac:dyDescent="0.25">
      <c r="A29" s="60" t="s">
        <v>310</v>
      </c>
      <c r="B29" s="485"/>
      <c r="C29" s="171">
        <v>44892</v>
      </c>
      <c r="D29" s="194" t="s">
        <v>133</v>
      </c>
      <c r="E29" s="172" t="s">
        <v>162</v>
      </c>
      <c r="F29" s="78" t="s">
        <v>8</v>
      </c>
      <c r="G29" s="468">
        <v>2</v>
      </c>
      <c r="H29" s="80" t="s">
        <v>0</v>
      </c>
      <c r="I29" s="472">
        <v>2</v>
      </c>
      <c r="J29" s="81" t="s">
        <v>160</v>
      </c>
      <c r="K29" s="52"/>
      <c r="L29" s="495" t="str">
        <f>IF(OR(Copa2022!F37="",G29=""),"",
IF(AND(Copa2022!F37=G29,Copa2022!H37=I29),Regras!$J$25,IF(Y29=Regras!F51,Regras!$J$26,0)))</f>
        <v/>
      </c>
      <c r="M29" s="495"/>
      <c r="N29" s="318"/>
      <c r="O29" s="453">
        <v>2</v>
      </c>
      <c r="P29" s="454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 x14ac:dyDescent="0.2">
      <c r="A30" s="60" t="s">
        <v>311</v>
      </c>
      <c r="B30" s="485"/>
      <c r="C30" s="171">
        <v>44892</v>
      </c>
      <c r="D30" s="194" t="s">
        <v>136</v>
      </c>
      <c r="E30" s="172" t="s">
        <v>161</v>
      </c>
      <c r="F30" s="78" t="s">
        <v>11</v>
      </c>
      <c r="G30" s="468">
        <v>2</v>
      </c>
      <c r="H30" s="80" t="s">
        <v>0</v>
      </c>
      <c r="I30" s="472">
        <v>3</v>
      </c>
      <c r="J30" s="81" t="s">
        <v>7</v>
      </c>
      <c r="K30" s="52"/>
      <c r="L30" s="495" t="str">
        <f>IF(OR(Copa2022!F38="",G30=""),"",
IF(AND(Copa2022!F38=G30,Copa2022!H38=I30),Regras!$J$25,IF(Y30=Regras!F52,Regras!$J$26,0)))</f>
        <v/>
      </c>
      <c r="M30" s="495"/>
      <c r="N30" s="318"/>
      <c r="O30" s="450">
        <v>3</v>
      </c>
      <c r="P30" s="449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 x14ac:dyDescent="0.25">
      <c r="A31" s="60" t="s">
        <v>312</v>
      </c>
      <c r="B31" s="485"/>
      <c r="C31" s="171">
        <v>44896</v>
      </c>
      <c r="D31" s="194" t="s">
        <v>136</v>
      </c>
      <c r="E31" s="172" t="s">
        <v>143</v>
      </c>
      <c r="F31" s="78" t="s">
        <v>8</v>
      </c>
      <c r="G31" s="468">
        <v>1</v>
      </c>
      <c r="H31" s="80" t="s">
        <v>0</v>
      </c>
      <c r="I31" s="472">
        <v>3</v>
      </c>
      <c r="J31" s="81" t="s">
        <v>11</v>
      </c>
      <c r="K31" s="52"/>
      <c r="L31" s="495" t="str">
        <f>IF(OR(Copa2022!F39="",G31=""),"",
IF(AND(Copa2022!F39=G31,Copa2022!H39=I31),Regras!$J$25,IF(Y31=Regras!F53,Regras!$J$26,0)))</f>
        <v/>
      </c>
      <c r="M31" s="495"/>
      <c r="N31" s="318"/>
      <c r="O31" s="451">
        <v>4</v>
      </c>
      <c r="P31" s="452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 x14ac:dyDescent="0.25">
      <c r="A32" s="60" t="s">
        <v>313</v>
      </c>
      <c r="B32" s="486"/>
      <c r="C32" s="173">
        <v>44896</v>
      </c>
      <c r="D32" s="195" t="s">
        <v>136</v>
      </c>
      <c r="E32" s="174" t="s">
        <v>161</v>
      </c>
      <c r="F32" s="86" t="s">
        <v>160</v>
      </c>
      <c r="G32" s="469">
        <v>1</v>
      </c>
      <c r="H32" s="88" t="s">
        <v>0</v>
      </c>
      <c r="I32" s="473">
        <v>2</v>
      </c>
      <c r="J32" s="89" t="s">
        <v>7</v>
      </c>
      <c r="K32" s="52"/>
      <c r="L32" s="495" t="str">
        <f>IF(OR(Copa2022!F40="",G32=""),"",
IF(AND(Copa2022!F40=G32,Copa2022!H40=I32),Regras!$J$25,IF(Y32=Regras!F54,Regras!$J$26,0)))</f>
        <v/>
      </c>
      <c r="M32" s="495"/>
      <c r="N32" s="318"/>
      <c r="O32" s="438"/>
      <c r="P32" s="449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 x14ac:dyDescent="0.25">
      <c r="A33" s="60" t="s">
        <v>314</v>
      </c>
      <c r="B33" s="48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468">
        <v>0</v>
      </c>
      <c r="H33" s="84" t="s">
        <v>0</v>
      </c>
      <c r="I33" s="472">
        <v>2</v>
      </c>
      <c r="J33" s="85" t="s">
        <v>70</v>
      </c>
      <c r="K33" s="52"/>
      <c r="L33" s="495" t="str">
        <f>IF(OR(Copa2022!F41="",G33=""),"",
IF(AND(Copa2022!F41=G33,Copa2022!H41=I33),Regras!$J$25,IF(Y33=Regras!F55,Regras!$J$26,0)))</f>
        <v/>
      </c>
      <c r="M33" s="495"/>
      <c r="N33" s="318"/>
      <c r="O33" s="502" t="s">
        <v>56</v>
      </c>
      <c r="P33" s="503"/>
      <c r="Q33" s="324" t="str">
        <f>IF(Copa2022!F46="","",IF(Copa2022!O42=Priscilla!P34,Regras!$J$27,0))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/>
      </c>
    </row>
    <row r="34" spans="1:25" s="60" customFormat="1" ht="35.1" customHeight="1" x14ac:dyDescent="0.2">
      <c r="A34" s="60" t="s">
        <v>315</v>
      </c>
      <c r="B34" s="485"/>
      <c r="C34" s="171">
        <v>44888</v>
      </c>
      <c r="D34" s="194" t="s">
        <v>136</v>
      </c>
      <c r="E34" s="177" t="s">
        <v>162</v>
      </c>
      <c r="F34" s="78" t="s">
        <v>104</v>
      </c>
      <c r="G34" s="468">
        <v>2</v>
      </c>
      <c r="H34" s="80" t="s">
        <v>0</v>
      </c>
      <c r="I34" s="472">
        <v>0</v>
      </c>
      <c r="J34" s="81" t="s">
        <v>150</v>
      </c>
      <c r="K34" s="52"/>
      <c r="L34" s="495" t="str">
        <f>IF(OR(Copa2022!F42="",G34=""),"",
IF(AND(Copa2022!F42=G34,Copa2022!H42=I34),Regras!$J$25,IF(Y34=Regras!F56,Regras!$J$26,0)))</f>
        <v/>
      </c>
      <c r="M34" s="495"/>
      <c r="N34" s="318"/>
      <c r="O34" s="450">
        <v>1</v>
      </c>
      <c r="P34" s="449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 x14ac:dyDescent="0.25">
      <c r="A35" s="60" t="s">
        <v>316</v>
      </c>
      <c r="B35" s="485"/>
      <c r="C35" s="171">
        <v>44892</v>
      </c>
      <c r="D35" s="194" t="s">
        <v>135</v>
      </c>
      <c r="E35" s="177" t="s">
        <v>157</v>
      </c>
      <c r="F35" s="78" t="s">
        <v>104</v>
      </c>
      <c r="G35" s="468">
        <v>3</v>
      </c>
      <c r="H35" s="80" t="s">
        <v>0</v>
      </c>
      <c r="I35" s="472">
        <v>1</v>
      </c>
      <c r="J35" s="81" t="s">
        <v>126</v>
      </c>
      <c r="K35" s="52"/>
      <c r="L35" s="495" t="str">
        <f>IF(OR(Copa2022!F43="",G35=""),"",
IF(AND(Copa2022!F43=G35,Copa2022!H43=I35),Regras!$J$25,IF(Y35=Regras!F57,Regras!$J$26,0)))</f>
        <v/>
      </c>
      <c r="M35" s="495"/>
      <c r="N35" s="318"/>
      <c r="O35" s="453">
        <v>2</v>
      </c>
      <c r="P35" s="454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 x14ac:dyDescent="0.2">
      <c r="A36" s="60" t="s">
        <v>317</v>
      </c>
      <c r="B36" s="485"/>
      <c r="C36" s="171">
        <v>44892</v>
      </c>
      <c r="D36" s="194" t="s">
        <v>134</v>
      </c>
      <c r="E36" s="177" t="s">
        <v>143</v>
      </c>
      <c r="F36" s="78" t="s">
        <v>70</v>
      </c>
      <c r="G36" s="468">
        <v>2</v>
      </c>
      <c r="H36" s="80" t="s">
        <v>0</v>
      </c>
      <c r="I36" s="472">
        <v>0</v>
      </c>
      <c r="J36" s="81" t="s">
        <v>150</v>
      </c>
      <c r="K36" s="52"/>
      <c r="L36" s="495" t="str">
        <f>IF(OR(Copa2022!F44="",G36=""),"",
IF(AND(Copa2022!F44=G36,Copa2022!H44=I36),Regras!$J$25,IF(Y36=Regras!F58,Regras!$J$26,0)))</f>
        <v/>
      </c>
      <c r="M36" s="495"/>
      <c r="N36" s="318"/>
      <c r="O36" s="450">
        <v>3</v>
      </c>
      <c r="P36" s="449" t="s">
        <v>126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 x14ac:dyDescent="0.25">
      <c r="A37" s="60" t="s">
        <v>318</v>
      </c>
      <c r="B37" s="485"/>
      <c r="C37" s="171">
        <v>44896</v>
      </c>
      <c r="D37" s="194" t="s">
        <v>132</v>
      </c>
      <c r="E37" s="177" t="s">
        <v>162</v>
      </c>
      <c r="F37" s="78" t="s">
        <v>70</v>
      </c>
      <c r="G37" s="468">
        <v>2</v>
      </c>
      <c r="H37" s="80" t="s">
        <v>0</v>
      </c>
      <c r="I37" s="472">
        <v>3</v>
      </c>
      <c r="J37" s="81" t="s">
        <v>104</v>
      </c>
      <c r="K37" s="52"/>
      <c r="L37" s="495" t="str">
        <f>IF(OR(Copa2022!F45="",G37=""),"",
IF(AND(Copa2022!F45=G37,Copa2022!H45=I37),Regras!$J$25,IF(Y37=Regras!F59,Regras!$J$26,0)))</f>
        <v/>
      </c>
      <c r="M37" s="495"/>
      <c r="N37" s="318"/>
      <c r="O37" s="451">
        <v>4</v>
      </c>
      <c r="P37" s="452" t="s">
        <v>150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 x14ac:dyDescent="0.25">
      <c r="A38" s="60" t="s">
        <v>319</v>
      </c>
      <c r="B38" s="486"/>
      <c r="C38" s="173">
        <v>44896</v>
      </c>
      <c r="D38" s="195" t="s">
        <v>132</v>
      </c>
      <c r="E38" s="178" t="s">
        <v>157</v>
      </c>
      <c r="F38" s="90" t="s">
        <v>150</v>
      </c>
      <c r="G38" s="469">
        <v>1</v>
      </c>
      <c r="H38" s="92" t="s">
        <v>0</v>
      </c>
      <c r="I38" s="473">
        <v>2</v>
      </c>
      <c r="J38" s="93" t="s">
        <v>126</v>
      </c>
      <c r="K38" s="52"/>
      <c r="L38" s="495" t="str">
        <f>IF(OR(Copa2022!F46="",G38=""),"",
IF(AND(Copa2022!F46=G38,Copa2022!H46=I38),Regras!$J$25,IF(Y38=Regras!F60,Regras!$J$26,0)))</f>
        <v/>
      </c>
      <c r="M38" s="495"/>
      <c r="N38" s="318"/>
      <c r="O38" s="438"/>
      <c r="P38" s="449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 x14ac:dyDescent="0.25">
      <c r="A39" s="60" t="s">
        <v>320</v>
      </c>
      <c r="B39" s="48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468">
        <v>1</v>
      </c>
      <c r="H39" s="76" t="s">
        <v>0</v>
      </c>
      <c r="I39" s="472">
        <v>2</v>
      </c>
      <c r="J39" s="77" t="s">
        <v>151</v>
      </c>
      <c r="K39" s="52"/>
      <c r="L39" s="495" t="str">
        <f>IF(OR(Copa2022!F47="",G39=""),"",
IF(AND(Copa2022!F47=G39,Copa2022!H47=I39),Regras!$J$25,IF(Y39=Regras!F61,Regras!$J$26,0)))</f>
        <v/>
      </c>
      <c r="M39" s="495"/>
      <c r="N39" s="318"/>
      <c r="O39" s="502" t="s">
        <v>58</v>
      </c>
      <c r="P39" s="503"/>
      <c r="Q39" s="324" t="str">
        <f>IF(Copa2022!F52="","",IF(Copa2022!O48=Priscilla!P40,Regras!$J$27,0))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 x14ac:dyDescent="0.2">
      <c r="A40" s="60" t="s">
        <v>321</v>
      </c>
      <c r="B40" s="485"/>
      <c r="C40" s="171">
        <v>44889</v>
      </c>
      <c r="D40" s="194" t="s">
        <v>136</v>
      </c>
      <c r="E40" s="172" t="s">
        <v>146</v>
      </c>
      <c r="F40" s="78" t="s">
        <v>10</v>
      </c>
      <c r="G40" s="468">
        <v>2</v>
      </c>
      <c r="H40" s="80" t="s">
        <v>0</v>
      </c>
      <c r="I40" s="472">
        <v>0</v>
      </c>
      <c r="J40" s="81" t="s">
        <v>128</v>
      </c>
      <c r="K40" s="52"/>
      <c r="L40" s="495" t="str">
        <f>IF(OR(Copa2022!F48="",G40=""),"",
IF(AND(Copa2022!F48=G40,Copa2022!H48=I40),Regras!$J$25,IF(Y40=Regras!F62,Regras!$J$26,0)))</f>
        <v/>
      </c>
      <c r="M40" s="495"/>
      <c r="N40" s="318"/>
      <c r="O40" s="455">
        <v>1</v>
      </c>
      <c r="P40" s="456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 x14ac:dyDescent="0.25">
      <c r="A41" s="60" t="s">
        <v>322</v>
      </c>
      <c r="B41" s="485"/>
      <c r="C41" s="171">
        <v>44893</v>
      </c>
      <c r="D41" s="194" t="s">
        <v>133</v>
      </c>
      <c r="E41" s="172" t="s">
        <v>164</v>
      </c>
      <c r="F41" s="78" t="s">
        <v>151</v>
      </c>
      <c r="G41" s="468">
        <v>2</v>
      </c>
      <c r="H41" s="80" t="s">
        <v>0</v>
      </c>
      <c r="I41" s="472">
        <v>0</v>
      </c>
      <c r="J41" s="81" t="s">
        <v>128</v>
      </c>
      <c r="K41" s="52"/>
      <c r="L41" s="495" t="str">
        <f>IF(OR(Copa2022!F49="",G41=""),"",
IF(AND(Copa2022!F49=G41,Copa2022!H49=I41),Regras!$J$25,IF(Y41=Regras!F63,Regras!$J$26,0)))</f>
        <v/>
      </c>
      <c r="M41" s="495"/>
      <c r="N41" s="318"/>
      <c r="O41" s="453">
        <v>2</v>
      </c>
      <c r="P41" s="454" t="s">
        <v>151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 x14ac:dyDescent="0.2">
      <c r="A42" s="60" t="s">
        <v>323</v>
      </c>
      <c r="B42" s="485"/>
      <c r="C42" s="171">
        <v>44893</v>
      </c>
      <c r="D42" s="194" t="s">
        <v>134</v>
      </c>
      <c r="E42" s="172" t="s">
        <v>163</v>
      </c>
      <c r="F42" s="78" t="s">
        <v>10</v>
      </c>
      <c r="G42" s="468">
        <v>3</v>
      </c>
      <c r="H42" s="80" t="s">
        <v>0</v>
      </c>
      <c r="I42" s="472">
        <v>1</v>
      </c>
      <c r="J42" s="81" t="s">
        <v>12</v>
      </c>
      <c r="K42" s="52"/>
      <c r="L42" s="495" t="str">
        <f>IF(OR(Copa2022!F50="",G42=""),"",
IF(AND(Copa2022!F50=G42,Copa2022!H50=I42),Regras!$J$25,IF(Y42=Regras!F64,Regras!$J$26,0)))</f>
        <v/>
      </c>
      <c r="M42" s="495"/>
      <c r="N42" s="318"/>
      <c r="O42" s="450">
        <v>3</v>
      </c>
      <c r="P42" s="449" t="s">
        <v>12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 x14ac:dyDescent="0.25">
      <c r="A43" s="60" t="s">
        <v>324</v>
      </c>
      <c r="B43" s="485"/>
      <c r="C43" s="171">
        <v>44897</v>
      </c>
      <c r="D43" s="194" t="s">
        <v>136</v>
      </c>
      <c r="E43" s="172" t="s">
        <v>146</v>
      </c>
      <c r="F43" s="78" t="s">
        <v>151</v>
      </c>
      <c r="G43" s="468">
        <v>0</v>
      </c>
      <c r="H43" s="80" t="s">
        <v>0</v>
      </c>
      <c r="I43" s="472">
        <v>2</v>
      </c>
      <c r="J43" s="81" t="s">
        <v>10</v>
      </c>
      <c r="K43" s="52"/>
      <c r="L43" s="495" t="str">
        <f>IF(OR(Copa2022!F51="",G43=""),"",
IF(AND(Copa2022!F51=G43,Copa2022!H51=I43),Regras!$J$25,IF(Y43=Regras!F65,Regras!$J$26,0)))</f>
        <v/>
      </c>
      <c r="M43" s="495"/>
      <c r="N43" s="318"/>
      <c r="O43" s="451">
        <v>4</v>
      </c>
      <c r="P43" s="452" t="s">
        <v>128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 x14ac:dyDescent="0.25">
      <c r="A44" s="60" t="s">
        <v>325</v>
      </c>
      <c r="B44" s="486"/>
      <c r="C44" s="173">
        <v>44897</v>
      </c>
      <c r="D44" s="195" t="s">
        <v>136</v>
      </c>
      <c r="E44" s="174" t="s">
        <v>163</v>
      </c>
      <c r="F44" s="86" t="s">
        <v>128</v>
      </c>
      <c r="G44" s="469">
        <v>1</v>
      </c>
      <c r="H44" s="88" t="s">
        <v>0</v>
      </c>
      <c r="I44" s="473">
        <v>2</v>
      </c>
      <c r="J44" s="89" t="s">
        <v>12</v>
      </c>
      <c r="K44" s="52"/>
      <c r="L44" s="495" t="str">
        <f>IF(OR(Copa2022!F52="",G44=""),"",
IF(AND(Copa2022!F52=G44,Copa2022!H52=I44),Regras!$J$25,IF(Y44=Regras!F66,Regras!$J$26,0)))</f>
        <v/>
      </c>
      <c r="M44" s="495"/>
      <c r="N44" s="318"/>
      <c r="O44" s="438"/>
      <c r="P44" s="449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 x14ac:dyDescent="0.25">
      <c r="A45" s="60" t="s">
        <v>326</v>
      </c>
      <c r="B45" s="48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468">
        <v>2</v>
      </c>
      <c r="H45" s="84" t="s">
        <v>0</v>
      </c>
      <c r="I45" s="472">
        <v>0</v>
      </c>
      <c r="J45" s="85" t="s">
        <v>5</v>
      </c>
      <c r="K45" s="52"/>
      <c r="L45" s="495" t="str">
        <f>IF(OR(Copa2022!F53="",G45=""),"",
IF(AND(Copa2022!F53=G45,Copa2022!H53=I45),Regras!$J$25,IF(Y45=Regras!F67,Regras!$J$26,0)))</f>
        <v/>
      </c>
      <c r="M45" s="495"/>
      <c r="N45" s="318"/>
      <c r="O45" s="502" t="s">
        <v>59</v>
      </c>
      <c r="P45" s="503"/>
      <c r="Q45" s="324" t="str">
        <f>IF(Copa2022!F58="","",IF(Copa2022!O54=Priscilla!P46,Regras!$J$27,0))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 x14ac:dyDescent="0.2">
      <c r="A46" s="60" t="s">
        <v>327</v>
      </c>
      <c r="B46" s="485"/>
      <c r="C46" s="171">
        <v>44889</v>
      </c>
      <c r="D46" s="194" t="s">
        <v>134</v>
      </c>
      <c r="E46" s="177" t="s">
        <v>163</v>
      </c>
      <c r="F46" s="78" t="s">
        <v>9</v>
      </c>
      <c r="G46" s="468">
        <v>2</v>
      </c>
      <c r="H46" s="80" t="s">
        <v>0</v>
      </c>
      <c r="I46" s="472">
        <v>1</v>
      </c>
      <c r="J46" s="81" t="s">
        <v>152</v>
      </c>
      <c r="K46" s="52"/>
      <c r="L46" s="495" t="str">
        <f>IF(OR(Copa2022!F54="",G46=""),"",
IF(AND(Copa2022!F54=G46,Copa2022!H54=I46),Regras!$J$25,IF(Y46=Regras!F68,Regras!$J$26,0)))</f>
        <v/>
      </c>
      <c r="M46" s="495"/>
      <c r="N46" s="318"/>
      <c r="O46" s="450">
        <v>1</v>
      </c>
      <c r="P46" s="449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 x14ac:dyDescent="0.25">
      <c r="A47" s="60" t="s">
        <v>328</v>
      </c>
      <c r="B47" s="485"/>
      <c r="C47" s="171">
        <v>44893</v>
      </c>
      <c r="D47" s="194" t="s">
        <v>135</v>
      </c>
      <c r="E47" s="177" t="s">
        <v>148</v>
      </c>
      <c r="F47" s="78" t="s">
        <v>5</v>
      </c>
      <c r="G47" s="468">
        <v>0</v>
      </c>
      <c r="H47" s="80" t="s">
        <v>0</v>
      </c>
      <c r="I47" s="472">
        <v>2</v>
      </c>
      <c r="J47" s="81" t="s">
        <v>152</v>
      </c>
      <c r="K47" s="52"/>
      <c r="L47" s="495" t="str">
        <f>IF(OR(Copa2022!F55="",G47=""),"",
IF(AND(Copa2022!F55=G47,Copa2022!H55=I47),Regras!$J$25,IF(Y47=Regras!F69,Regras!$J$26,0)))</f>
        <v/>
      </c>
      <c r="M47" s="495"/>
      <c r="N47" s="318"/>
      <c r="O47" s="453">
        <v>2</v>
      </c>
      <c r="P47" s="454" t="s">
        <v>9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 x14ac:dyDescent="0.2">
      <c r="A48" s="60" t="s">
        <v>329</v>
      </c>
      <c r="B48" s="485"/>
      <c r="C48" s="171">
        <v>44893</v>
      </c>
      <c r="D48" s="194" t="s">
        <v>136</v>
      </c>
      <c r="E48" s="177" t="s">
        <v>146</v>
      </c>
      <c r="F48" s="78" t="s">
        <v>9</v>
      </c>
      <c r="G48" s="468">
        <v>1</v>
      </c>
      <c r="H48" s="80" t="s">
        <v>0</v>
      </c>
      <c r="I48" s="472">
        <v>2</v>
      </c>
      <c r="J48" s="81" t="s">
        <v>2</v>
      </c>
      <c r="K48" s="52"/>
      <c r="L48" s="495" t="str">
        <f>IF(OR(Copa2022!F56="",G48=""),"",
IF(AND(Copa2022!F56=G48,Copa2022!H56=I48),Regras!$J$25,IF(Y48=Regras!F70,Regras!$J$26,0)))</f>
        <v/>
      </c>
      <c r="M48" s="495"/>
      <c r="N48" s="318"/>
      <c r="O48" s="450">
        <v>3</v>
      </c>
      <c r="P48" s="449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 x14ac:dyDescent="0.25">
      <c r="A49" s="60" t="s">
        <v>330</v>
      </c>
      <c r="B49" s="485"/>
      <c r="C49" s="171">
        <v>44897</v>
      </c>
      <c r="D49" s="194" t="s">
        <v>132</v>
      </c>
      <c r="E49" s="177" t="s">
        <v>148</v>
      </c>
      <c r="F49" s="78" t="s">
        <v>5</v>
      </c>
      <c r="G49" s="470">
        <v>0</v>
      </c>
      <c r="H49" s="80" t="s">
        <v>0</v>
      </c>
      <c r="I49" s="474">
        <v>2</v>
      </c>
      <c r="J49" s="81" t="s">
        <v>9</v>
      </c>
      <c r="K49" s="52"/>
      <c r="L49" s="495" t="str">
        <f>IF(OR(Copa2022!F57="",G49=""),"",
IF(AND(Copa2022!F57=G49,Copa2022!H57=I49),Regras!$J$25,IF(Y49=Regras!F71,Regras!$J$26,0)))</f>
        <v/>
      </c>
      <c r="M49" s="495"/>
      <c r="N49" s="318"/>
      <c r="O49" s="451">
        <v>4</v>
      </c>
      <c r="P49" s="452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 x14ac:dyDescent="0.25">
      <c r="A50" s="477" t="s">
        <v>331</v>
      </c>
      <c r="B50" s="486"/>
      <c r="C50" s="173">
        <v>44897</v>
      </c>
      <c r="D50" s="195" t="s">
        <v>132</v>
      </c>
      <c r="E50" s="178" t="s">
        <v>164</v>
      </c>
      <c r="F50" s="19" t="s">
        <v>152</v>
      </c>
      <c r="G50" s="469">
        <v>0</v>
      </c>
      <c r="H50" s="137" t="s">
        <v>0</v>
      </c>
      <c r="I50" s="473">
        <v>2</v>
      </c>
      <c r="J50" s="130" t="s">
        <v>2</v>
      </c>
      <c r="K50" s="52"/>
      <c r="L50" s="495" t="str">
        <f>IF(OR(Copa2022!F58="",G50=""),"",
IF(AND(Copa2022!F58=G50,Copa2022!H58=I50),Regras!$J$25,IF(Y50=Regras!F72,Regras!$J$26,0)))</f>
        <v/>
      </c>
      <c r="M50" s="495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x14ac:dyDescent="0.2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 x14ac:dyDescent="0.25">
      <c r="B52" s="44"/>
      <c r="C52" s="506" t="s">
        <v>124</v>
      </c>
      <c r="D52" s="507"/>
      <c r="E52" s="507"/>
      <c r="F52" s="507"/>
      <c r="G52" s="507"/>
      <c r="H52" s="507"/>
      <c r="I52" s="507"/>
      <c r="J52" s="507"/>
      <c r="K52" s="507"/>
      <c r="L52" s="507"/>
      <c r="M52" s="508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 x14ac:dyDescent="0.25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4" t="s">
        <v>78</v>
      </c>
      <c r="M53" s="505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 x14ac:dyDescent="0.25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 x14ac:dyDescent="0.25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 x14ac:dyDescent="0.25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 x14ac:dyDescent="0.25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 x14ac:dyDescent="0.25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 x14ac:dyDescent="0.25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 x14ac:dyDescent="0.25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 x14ac:dyDescent="0.25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 x14ac:dyDescent="0.25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23" t="s">
        <v>78</v>
      </c>
      <c r="M62" s="524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 x14ac:dyDescent="0.25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 x14ac:dyDescent="0.25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 x14ac:dyDescent="0.25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 x14ac:dyDescent="0.25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 x14ac:dyDescent="0.25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20" t="s">
        <v>78</v>
      </c>
      <c r="M67" s="522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 x14ac:dyDescent="0.25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 x14ac:dyDescent="0.25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 x14ac:dyDescent="0.25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20" t="s">
        <v>78</v>
      </c>
      <c r="M70" s="522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 x14ac:dyDescent="0.25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 x14ac:dyDescent="0.25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20" t="s">
        <v>78</v>
      </c>
      <c r="M72" s="521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 x14ac:dyDescent="0.25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 x14ac:dyDescent="0.2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 x14ac:dyDescent="0.25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 x14ac:dyDescent="0.25">
      <c r="C76" s="2"/>
      <c r="D76" s="2"/>
      <c r="E76" s="125" t="s">
        <v>83</v>
      </c>
      <c r="F76" s="511">
        <f>'2ª Fase'!E40:I40</f>
        <v>0</v>
      </c>
      <c r="G76" s="511"/>
      <c r="H76" s="511"/>
      <c r="I76" s="511"/>
      <c r="J76" s="512"/>
      <c r="K76" s="50"/>
      <c r="L76" s="1"/>
      <c r="M76" s="1"/>
    </row>
    <row r="77" spans="1:25" ht="15" customHeight="1" x14ac:dyDescent="0.2">
      <c r="C77" s="2"/>
      <c r="D77" s="2"/>
      <c r="E77" s="126" t="s">
        <v>84</v>
      </c>
      <c r="F77" s="513">
        <f>'2ª Fase'!E41:I41</f>
        <v>0</v>
      </c>
      <c r="G77" s="513"/>
      <c r="H77" s="513"/>
      <c r="I77" s="513"/>
      <c r="J77" s="514"/>
      <c r="K77" s="50"/>
      <c r="L77" s="1"/>
      <c r="M77" s="1"/>
    </row>
    <row r="78" spans="1:25" ht="15" customHeight="1" x14ac:dyDescent="0.2">
      <c r="C78" s="2"/>
      <c r="D78" s="2"/>
      <c r="E78" s="127" t="s">
        <v>102</v>
      </c>
      <c r="F78" s="515">
        <f>'2ª Fase'!E42:I42</f>
        <v>0</v>
      </c>
      <c r="G78" s="515"/>
      <c r="H78" s="515"/>
      <c r="I78" s="515"/>
      <c r="J78" s="516"/>
      <c r="K78" s="50"/>
      <c r="L78" s="1"/>
      <c r="M78" s="1"/>
    </row>
    <row r="79" spans="1:25" ht="15" customHeight="1" thickBot="1" x14ac:dyDescent="0.25">
      <c r="C79" s="2"/>
      <c r="D79" s="2"/>
      <c r="E79" s="128" t="s">
        <v>103</v>
      </c>
      <c r="F79" s="517">
        <f>'2ª Fase'!E43:I43</f>
        <v>0</v>
      </c>
      <c r="G79" s="517"/>
      <c r="H79" s="517"/>
      <c r="I79" s="517"/>
      <c r="J79" s="518"/>
      <c r="K79" s="50"/>
      <c r="L79" s="1"/>
      <c r="M79" s="1"/>
    </row>
    <row r="80" spans="1:25" ht="15" hidden="1" customHeight="1" x14ac:dyDescent="0.2">
      <c r="C80" s="2"/>
      <c r="D80" s="2"/>
      <c r="E80" s="192"/>
      <c r="F80" s="509"/>
      <c r="G80" s="509"/>
      <c r="H80" s="509"/>
      <c r="I80" s="509"/>
      <c r="J80" s="510"/>
      <c r="K80" s="50"/>
      <c r="L80" s="129"/>
      <c r="M80" s="1"/>
    </row>
    <row r="81" spans="3:13" ht="15.75" x14ac:dyDescent="0.2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 x14ac:dyDescent="0.2"/>
    <row r="90" spans="3:13" ht="15.75" customHeight="1" x14ac:dyDescent="0.2"/>
    <row r="91" spans="3:13" ht="15.75" customHeight="1" x14ac:dyDescent="0.2"/>
    <row r="92" spans="3:13" ht="15.75" customHeight="1" x14ac:dyDescent="0.2"/>
    <row r="93" spans="3:13" ht="15.75" customHeight="1" x14ac:dyDescent="0.2"/>
    <row r="94" spans="3:13" ht="15.75" customHeight="1" x14ac:dyDescent="0.2"/>
    <row r="95" spans="3:13" ht="15.75" customHeight="1" x14ac:dyDescent="0.2"/>
    <row r="96" spans="3:13" ht="15.75" customHeight="1" x14ac:dyDescent="0.2"/>
    <row r="117" spans="2:25" s="9" customFormat="1" ht="15.75" hidden="1" x14ac:dyDescent="0.2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F76:J76"/>
    <mergeCell ref="F77:J77"/>
    <mergeCell ref="F78:J78"/>
    <mergeCell ref="F79:J79"/>
    <mergeCell ref="F80:J80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B39:B44"/>
    <mergeCell ref="L39:M39"/>
    <mergeCell ref="O39:P39"/>
    <mergeCell ref="L40:M40"/>
    <mergeCell ref="L41:M41"/>
    <mergeCell ref="L42:M42"/>
    <mergeCell ref="L43:M43"/>
    <mergeCell ref="L44:M44"/>
    <mergeCell ref="B33:B38"/>
    <mergeCell ref="L33:M33"/>
    <mergeCell ref="O33:P33"/>
    <mergeCell ref="L34:M34"/>
    <mergeCell ref="L35:M35"/>
    <mergeCell ref="L36:M36"/>
    <mergeCell ref="L37:M37"/>
    <mergeCell ref="L38:M38"/>
    <mergeCell ref="B27:B32"/>
    <mergeCell ref="L27:M27"/>
    <mergeCell ref="O27:P27"/>
    <mergeCell ref="L28:M28"/>
    <mergeCell ref="L29:M29"/>
    <mergeCell ref="L30:M30"/>
    <mergeCell ref="L31:M31"/>
    <mergeCell ref="L32:M32"/>
    <mergeCell ref="B21:B26"/>
    <mergeCell ref="L21:M21"/>
    <mergeCell ref="O21:P21"/>
    <mergeCell ref="L22:M22"/>
    <mergeCell ref="L23:M23"/>
    <mergeCell ref="L24:M24"/>
    <mergeCell ref="L25:M25"/>
    <mergeCell ref="L26:M26"/>
    <mergeCell ref="B15:B20"/>
    <mergeCell ref="L15:M15"/>
    <mergeCell ref="O15:P15"/>
    <mergeCell ref="L16:M16"/>
    <mergeCell ref="L17:M17"/>
    <mergeCell ref="L18:M18"/>
    <mergeCell ref="L19:M19"/>
    <mergeCell ref="L20:M20"/>
    <mergeCell ref="B9:B14"/>
    <mergeCell ref="L9:M9"/>
    <mergeCell ref="O9:P9"/>
    <mergeCell ref="L10:M10"/>
    <mergeCell ref="L11:M11"/>
    <mergeCell ref="L12:M12"/>
    <mergeCell ref="L13:M13"/>
    <mergeCell ref="L14:M14"/>
    <mergeCell ref="B3:B8"/>
    <mergeCell ref="L3:M3"/>
    <mergeCell ref="O3:P3"/>
    <mergeCell ref="L4:M4"/>
    <mergeCell ref="L5:M5"/>
    <mergeCell ref="L6:M6"/>
    <mergeCell ref="L7:M7"/>
    <mergeCell ref="L8:M8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774" priority="51" stopIfTrue="1" operator="equal">
      <formula>#REF!</formula>
    </cfRule>
  </conditionalFormatting>
  <conditionalFormatting sqref="M54:N54">
    <cfRule type="expression" dxfId="773" priority="50">
      <formula>$H$14="penaltis"</formula>
    </cfRule>
  </conditionalFormatting>
  <conditionalFormatting sqref="L55:N55">
    <cfRule type="expression" dxfId="772" priority="49">
      <formula>$H$15="penaltis"</formula>
    </cfRule>
  </conditionalFormatting>
  <conditionalFormatting sqref="L56:N56">
    <cfRule type="expression" dxfId="771" priority="48">
      <formula>$H$16="penaltis"</formula>
    </cfRule>
  </conditionalFormatting>
  <conditionalFormatting sqref="L57:N57">
    <cfRule type="expression" dxfId="770" priority="47">
      <formula>$H$17="penaltis"</formula>
    </cfRule>
  </conditionalFormatting>
  <conditionalFormatting sqref="L58:N58">
    <cfRule type="expression" dxfId="769" priority="46">
      <formula>$H$18="penaltis"</formula>
    </cfRule>
  </conditionalFormatting>
  <conditionalFormatting sqref="L59:N59">
    <cfRule type="expression" dxfId="768" priority="45">
      <formula>$H$19="penaltis"</formula>
    </cfRule>
  </conditionalFormatting>
  <conditionalFormatting sqref="L60:N60">
    <cfRule type="expression" dxfId="767" priority="44">
      <formula>$H$20="penaltis"</formula>
    </cfRule>
  </conditionalFormatting>
  <conditionalFormatting sqref="L61:N61">
    <cfRule type="expression" dxfId="766" priority="43">
      <formula>$H$21="penaltis"</formula>
    </cfRule>
  </conditionalFormatting>
  <conditionalFormatting sqref="N63">
    <cfRule type="expression" dxfId="765" priority="42">
      <formula>$H$23="penaltis"</formula>
    </cfRule>
  </conditionalFormatting>
  <conditionalFormatting sqref="N64">
    <cfRule type="expression" dxfId="764" priority="41" stopIfTrue="1">
      <formula>$H$24="penaltis"</formula>
    </cfRule>
  </conditionalFormatting>
  <conditionalFormatting sqref="N65">
    <cfRule type="expression" dxfId="763" priority="40" stopIfTrue="1">
      <formula>$H$25="penaltis"</formula>
    </cfRule>
  </conditionalFormatting>
  <conditionalFormatting sqref="N66">
    <cfRule type="expression" dxfId="762" priority="39" stopIfTrue="1">
      <formula>$H$26="penaltis"</formula>
    </cfRule>
  </conditionalFormatting>
  <conditionalFormatting sqref="N68">
    <cfRule type="expression" dxfId="761" priority="38" stopIfTrue="1">
      <formula>$H$28="penaltis"</formula>
    </cfRule>
  </conditionalFormatting>
  <conditionalFormatting sqref="N69">
    <cfRule type="expression" dxfId="760" priority="37" stopIfTrue="1">
      <formula>$H$29="penaltis"</formula>
    </cfRule>
  </conditionalFormatting>
  <conditionalFormatting sqref="N71">
    <cfRule type="expression" dxfId="759" priority="36" stopIfTrue="1">
      <formula>$H$31="penaltis"</formula>
    </cfRule>
  </conditionalFormatting>
  <conditionalFormatting sqref="N73">
    <cfRule type="expression" dxfId="758" priority="35" stopIfTrue="1">
      <formula>$H$33="penaltis"</formula>
    </cfRule>
  </conditionalFormatting>
  <conditionalFormatting sqref="L54:M54">
    <cfRule type="expression" dxfId="757" priority="34" stopIfTrue="1">
      <formula>$K$54="penaltis"</formula>
    </cfRule>
  </conditionalFormatting>
  <conditionalFormatting sqref="L55:M55">
    <cfRule type="expression" dxfId="756" priority="33" stopIfTrue="1">
      <formula>$K$55="penaltis"</formula>
    </cfRule>
  </conditionalFormatting>
  <conditionalFormatting sqref="L56:M56">
    <cfRule type="expression" dxfId="755" priority="32" stopIfTrue="1">
      <formula>$K$56="penaltis"</formula>
    </cfRule>
  </conditionalFormatting>
  <conditionalFormatting sqref="L57:M57">
    <cfRule type="expression" dxfId="754" priority="31" stopIfTrue="1">
      <formula>$K$57="penaltis"</formula>
    </cfRule>
  </conditionalFormatting>
  <conditionalFormatting sqref="L58:M58">
    <cfRule type="expression" dxfId="753" priority="30" stopIfTrue="1">
      <formula>$K$58="penaltis"</formula>
    </cfRule>
  </conditionalFormatting>
  <conditionalFormatting sqref="L59:M59">
    <cfRule type="expression" dxfId="752" priority="29" stopIfTrue="1">
      <formula>$K$59="penaltis"</formula>
    </cfRule>
  </conditionalFormatting>
  <conditionalFormatting sqref="L60:M60">
    <cfRule type="expression" dxfId="751" priority="28" stopIfTrue="1">
      <formula>$K$60="penaltis"</formula>
    </cfRule>
  </conditionalFormatting>
  <conditionalFormatting sqref="L61:M61">
    <cfRule type="expression" dxfId="750" priority="27" stopIfTrue="1">
      <formula>$K$61="penaltis"</formula>
    </cfRule>
  </conditionalFormatting>
  <conditionalFormatting sqref="L63:M63">
    <cfRule type="expression" dxfId="749" priority="26">
      <formula>$K$63="penaltis"</formula>
    </cfRule>
  </conditionalFormatting>
  <conditionalFormatting sqref="L64:M64">
    <cfRule type="expression" dxfId="748" priority="25">
      <formula>$K$64="penaltis"</formula>
    </cfRule>
  </conditionalFormatting>
  <conditionalFormatting sqref="L65:M65">
    <cfRule type="expression" dxfId="747" priority="24">
      <formula>$K$65="penaltis"</formula>
    </cfRule>
  </conditionalFormatting>
  <conditionalFormatting sqref="L66:M66">
    <cfRule type="expression" dxfId="746" priority="23">
      <formula>$K$66="penaltis"</formula>
    </cfRule>
  </conditionalFormatting>
  <conditionalFormatting sqref="L68:M68">
    <cfRule type="expression" dxfId="745" priority="22">
      <formula>$K$68="penaltis"</formula>
    </cfRule>
  </conditionalFormatting>
  <conditionalFormatting sqref="L69:M69">
    <cfRule type="expression" dxfId="744" priority="21">
      <formula>$K$69="penaltis"</formula>
    </cfRule>
  </conditionalFormatting>
  <conditionalFormatting sqref="L71:M71">
    <cfRule type="expression" dxfId="743" priority="20">
      <formula>$K$71="penaltis"</formula>
    </cfRule>
  </conditionalFormatting>
  <conditionalFormatting sqref="L73:M73">
    <cfRule type="expression" dxfId="742" priority="19">
      <formula>$K$73="penaltis"</formula>
    </cfRule>
  </conditionalFormatting>
  <conditionalFormatting sqref="Q4:X5">
    <cfRule type="expression" dxfId="741" priority="18">
      <formula>$R$8=12</formula>
    </cfRule>
  </conditionalFormatting>
  <conditionalFormatting sqref="Q10:X11">
    <cfRule type="expression" dxfId="740" priority="17">
      <formula>$R$14=12</formula>
    </cfRule>
  </conditionalFormatting>
  <conditionalFormatting sqref="Q16:X17">
    <cfRule type="expression" dxfId="739" priority="16">
      <formula>$R$20=12</formula>
    </cfRule>
  </conditionalFormatting>
  <conditionalFormatting sqref="Q22:X23">
    <cfRule type="expression" dxfId="738" priority="15">
      <formula>$R$26=12</formula>
    </cfRule>
  </conditionalFormatting>
  <conditionalFormatting sqref="Q28:X29">
    <cfRule type="expression" dxfId="737" priority="14">
      <formula>$R$32=12</formula>
    </cfRule>
  </conditionalFormatting>
  <conditionalFormatting sqref="Q34:X35">
    <cfRule type="expression" dxfId="736" priority="13">
      <formula>$R$38=12</formula>
    </cfRule>
  </conditionalFormatting>
  <conditionalFormatting sqref="Q40:X41">
    <cfRule type="expression" dxfId="735" priority="12">
      <formula>$R$44=12</formula>
    </cfRule>
  </conditionalFormatting>
  <conditionalFormatting sqref="Q46:X47">
    <cfRule type="expression" dxfId="734" priority="11">
      <formula>$R$50=12</formula>
    </cfRule>
  </conditionalFormatting>
  <conditionalFormatting sqref="F62:J73 B45 B9 B15 B21 B27 B33 B3 F3:F50 J3:J50">
    <cfRule type="cellIs" dxfId="733" priority="52" stopIfTrue="1" operator="equal">
      <formula>#REF!</formula>
    </cfRule>
  </conditionalFormatting>
  <conditionalFormatting sqref="B39">
    <cfRule type="cellIs" dxfId="732" priority="10" stopIfTrue="1" operator="equal">
      <formula>#REF!</formula>
    </cfRule>
  </conditionalFormatting>
  <conditionalFormatting sqref="F54:J61">
    <cfRule type="cellIs" dxfId="731" priority="9" stopIfTrue="1" operator="equal">
      <formula>$Z$7</formula>
    </cfRule>
  </conditionalFormatting>
  <conditionalFormatting sqref="O4:P5">
    <cfRule type="expression" dxfId="730" priority="8">
      <formula>$R$16=12</formula>
    </cfRule>
  </conditionalFormatting>
  <conditionalFormatting sqref="O10:P11">
    <cfRule type="expression" dxfId="729" priority="7">
      <formula>$R$22=12</formula>
    </cfRule>
  </conditionalFormatting>
  <conditionalFormatting sqref="O16:P17">
    <cfRule type="expression" dxfId="728" priority="6">
      <formula>$R$28=12</formula>
    </cfRule>
  </conditionalFormatting>
  <conditionalFormatting sqref="O22:P23">
    <cfRule type="expression" dxfId="727" priority="5">
      <formula>$R$34=12</formula>
    </cfRule>
  </conditionalFormatting>
  <conditionalFormatting sqref="O28:P29">
    <cfRule type="expression" dxfId="726" priority="4">
      <formula>$R$40=12</formula>
    </cfRule>
  </conditionalFormatting>
  <conditionalFormatting sqref="O34:P35">
    <cfRule type="expression" dxfId="725" priority="3">
      <formula>$R$46=12</formula>
    </cfRule>
  </conditionalFormatting>
  <conditionalFormatting sqref="O40:P41">
    <cfRule type="expression" dxfId="724" priority="2">
      <formula>$R$52=12</formula>
    </cfRule>
  </conditionalFormatting>
  <conditionalFormatting sqref="O46:P47">
    <cfRule type="expression" dxfId="723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 xr:uid="{00000000-0002-0000-0600-000000000000}"/>
  </dataValidations>
  <pageMargins left="0.511811024" right="0.511811024" top="0.78740157499999996" bottom="0.78740157499999996" header="0.31496062000000002" footer="0.31496062000000002"/>
  <pageSetup paperSize="9" orientation="portrait" r:id="rId1"/>
  <headerFooter>
    <oddFooter>&amp;L_x000D_&amp;1#&amp;"Calibri"&amp;10&amp;K008000 Classificação do documento: Público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HW117"/>
  <sheetViews>
    <sheetView topLeftCell="A17" workbookViewId="0">
      <selection activeCell="F3" sqref="F3:J50"/>
    </sheetView>
  </sheetViews>
  <sheetFormatPr defaultColWidth="0" defaultRowHeight="0" customHeight="1" zeroHeight="1" x14ac:dyDescent="0.2"/>
  <cols>
    <col min="1" max="1" width="6.3203125" customWidth="1"/>
    <col min="2" max="2" width="6.05078125" style="5" bestFit="1" customWidth="1"/>
    <col min="3" max="3" width="9.81640625" style="10" bestFit="1" customWidth="1"/>
    <col min="4" max="4" width="5.24609375" style="10" bestFit="1" customWidth="1"/>
    <col min="5" max="5" width="17.75390625" style="10" bestFit="1" customWidth="1"/>
    <col min="6" max="6" width="25.69140625" style="11" customWidth="1"/>
    <col min="7" max="7" width="2.6875" style="42" customWidth="1"/>
    <col min="8" max="8" width="2.6875" customWidth="1"/>
    <col min="9" max="9" width="2.6875" style="42" customWidth="1"/>
    <col min="10" max="10" width="25.69140625" style="12" customWidth="1"/>
    <col min="11" max="11" width="13.31640625" style="51" hidden="1" customWidth="1"/>
    <col min="12" max="13" width="3.2265625" customWidth="1"/>
    <col min="14" max="14" width="2.82421875" style="1" customWidth="1"/>
    <col min="15" max="15" width="2.015625" style="109" bestFit="1" customWidth="1"/>
    <col min="16" max="16" width="26.09765625" style="113" customWidth="1"/>
    <col min="17" max="17" width="4.70703125" style="322" customWidth="1"/>
    <col min="18" max="18" width="3.765625" style="322" customWidth="1"/>
    <col min="19" max="19" width="1.8828125" style="322" customWidth="1"/>
    <col min="20" max="20" width="2.28515625" style="322" customWidth="1"/>
    <col min="21" max="21" width="3.765625" style="322" customWidth="1"/>
    <col min="22" max="22" width="2.015625" style="322" customWidth="1"/>
    <col min="23" max="24" width="3.765625" style="322" hidden="1" customWidth="1"/>
    <col min="25" max="25" width="12.9140625" style="1" customWidth="1"/>
    <col min="26" max="36" width="9.14453125" hidden="1" customWidth="1"/>
    <col min="37" max="37" width="8.47265625" hidden="1" customWidth="1"/>
    <col min="38" max="38" width="8.7421875" hidden="1" customWidth="1"/>
    <col min="39" max="39" width="10.0859375" hidden="1" customWidth="1"/>
    <col min="40" max="230" width="9.14453125" hidden="1" customWidth="1"/>
    <col min="231" max="231" width="7.26171875" hidden="1" customWidth="1"/>
    <col min="232" max="16384" width="9.14453125" hidden="1"/>
  </cols>
  <sheetData>
    <row r="1" spans="1:25" s="58" customFormat="1" ht="15" customHeight="1" x14ac:dyDescent="0.2">
      <c r="B1" s="496" t="s">
        <v>94</v>
      </c>
      <c r="C1" s="498" t="s">
        <v>95</v>
      </c>
      <c r="D1" s="498" t="s">
        <v>74</v>
      </c>
      <c r="E1" s="500" t="s">
        <v>75</v>
      </c>
      <c r="F1" s="487" t="s">
        <v>96</v>
      </c>
      <c r="G1" s="488"/>
      <c r="H1" s="488"/>
      <c r="I1" s="488"/>
      <c r="J1" s="489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 x14ac:dyDescent="0.25">
      <c r="B2" s="497"/>
      <c r="C2" s="499"/>
      <c r="D2" s="499"/>
      <c r="E2" s="501"/>
      <c r="F2" s="490"/>
      <c r="G2" s="491"/>
      <c r="H2" s="491"/>
      <c r="I2" s="491"/>
      <c r="J2" s="492"/>
      <c r="K2" s="51"/>
      <c r="L2" s="493"/>
      <c r="M2" s="494"/>
      <c r="N2" s="315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 x14ac:dyDescent="0.25">
      <c r="A3" s="60" t="s">
        <v>284</v>
      </c>
      <c r="B3" s="48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439">
        <v>0</v>
      </c>
      <c r="H3" s="440" t="s">
        <v>0</v>
      </c>
      <c r="I3" s="458">
        <v>2</v>
      </c>
      <c r="J3" s="77" t="s">
        <v>142</v>
      </c>
      <c r="K3" s="52"/>
      <c r="L3" s="495">
        <f>IF(OR(Copa2022!F11="",G3=""),"",
IF(AND(Copa2022!F11=G3,Copa2022!H11=I3),Regras!$J$25,IF(Y3=Regras!F25,Regras!$J$26,0)))</f>
        <v>10</v>
      </c>
      <c r="M3" s="495"/>
      <c r="N3" s="316"/>
      <c r="O3" s="502" t="s">
        <v>220</v>
      </c>
      <c r="P3" s="526"/>
      <c r="Q3" s="324" t="str">
        <f>IF(Copa2022!F16="","",IF(Copa2022!O12=Rubiane!P4,Regras!$J$27,0))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 x14ac:dyDescent="0.2">
      <c r="A4" s="60" t="s">
        <v>285</v>
      </c>
      <c r="B4" s="485"/>
      <c r="C4" s="171">
        <v>44886</v>
      </c>
      <c r="D4" s="194" t="s">
        <v>134</v>
      </c>
      <c r="E4" s="172" t="s">
        <v>157</v>
      </c>
      <c r="F4" s="78" t="s">
        <v>131</v>
      </c>
      <c r="G4" s="441">
        <v>1</v>
      </c>
      <c r="H4" s="442" t="s">
        <v>0</v>
      </c>
      <c r="I4" s="459">
        <v>3</v>
      </c>
      <c r="J4" s="81" t="s">
        <v>140</v>
      </c>
      <c r="K4" s="52"/>
      <c r="L4" s="495">
        <f>IF(OR(Copa2022!F12="",G4=""),"",
IF(AND(Copa2022!F12=G4,Copa2022!H12=I4),Regras!$J$25,IF(Y4=Regras!F26,Regras!$J$26,0)))</f>
        <v>5</v>
      </c>
      <c r="M4" s="495"/>
      <c r="N4" s="316"/>
      <c r="O4" s="450">
        <v>1</v>
      </c>
      <c r="P4" s="449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 x14ac:dyDescent="0.25">
      <c r="A5" s="60" t="s">
        <v>286</v>
      </c>
      <c r="B5" s="485"/>
      <c r="C5" s="171">
        <v>44890</v>
      </c>
      <c r="D5" s="194" t="s">
        <v>135</v>
      </c>
      <c r="E5" s="172" t="s">
        <v>157</v>
      </c>
      <c r="F5" s="78" t="s">
        <v>141</v>
      </c>
      <c r="G5" s="441">
        <v>1</v>
      </c>
      <c r="H5" s="442" t="s">
        <v>0</v>
      </c>
      <c r="I5" s="459">
        <v>1</v>
      </c>
      <c r="J5" s="81" t="s">
        <v>131</v>
      </c>
      <c r="K5" s="52"/>
      <c r="L5" s="495" t="str">
        <f>IF(OR(Copa2022!F13="",G5=""),"",
IF(AND(Copa2022!F13=G5,Copa2022!H13=I5),Regras!$J$25,IF(Y5=Regras!F27,Regras!$J$26,0)))</f>
        <v/>
      </c>
      <c r="M5" s="495"/>
      <c r="N5" s="316"/>
      <c r="O5" s="453">
        <v>2</v>
      </c>
      <c r="P5" s="454" t="s">
        <v>142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 x14ac:dyDescent="0.2">
      <c r="A6" s="60" t="s">
        <v>287</v>
      </c>
      <c r="B6" s="485"/>
      <c r="C6" s="171">
        <v>44890</v>
      </c>
      <c r="D6" s="194" t="s">
        <v>134</v>
      </c>
      <c r="E6" s="172" t="s">
        <v>143</v>
      </c>
      <c r="F6" s="78" t="s">
        <v>140</v>
      </c>
      <c r="G6" s="441">
        <v>2</v>
      </c>
      <c r="H6" s="442" t="s">
        <v>0</v>
      </c>
      <c r="I6" s="459">
        <v>1</v>
      </c>
      <c r="J6" s="81" t="s">
        <v>142</v>
      </c>
      <c r="K6" s="52"/>
      <c r="L6" s="495" t="str">
        <f>IF(OR(Copa2022!F14="",G6=""),"",
IF(AND(Copa2022!F14=G6,Copa2022!H14=I6),Regras!$J$25,IF(Y6=Regras!F28,Regras!$J$26,0)))</f>
        <v/>
      </c>
      <c r="M6" s="495"/>
      <c r="N6" s="316"/>
      <c r="O6" s="450">
        <v>3</v>
      </c>
      <c r="P6" s="449" t="s">
        <v>131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 x14ac:dyDescent="0.25">
      <c r="A7" s="60" t="s">
        <v>288</v>
      </c>
      <c r="B7" s="485"/>
      <c r="C7" s="171">
        <v>44894</v>
      </c>
      <c r="D7" s="194" t="s">
        <v>132</v>
      </c>
      <c r="E7" s="172" t="s">
        <v>161</v>
      </c>
      <c r="F7" s="78" t="s">
        <v>140</v>
      </c>
      <c r="G7" s="441">
        <v>3</v>
      </c>
      <c r="H7" s="442" t="s">
        <v>0</v>
      </c>
      <c r="I7" s="459">
        <v>0</v>
      </c>
      <c r="J7" s="81" t="s">
        <v>141</v>
      </c>
      <c r="K7" s="52"/>
      <c r="L7" s="495" t="str">
        <f>IF(OR(Copa2022!F15="",G7=""),"",
IF(AND(Copa2022!F15=G7,Copa2022!H15=I7),Regras!$J$25,IF(Y7=Regras!F29,Regras!$J$26,0)))</f>
        <v/>
      </c>
      <c r="M7" s="495"/>
      <c r="N7" s="316"/>
      <c r="O7" s="451">
        <v>4</v>
      </c>
      <c r="P7" s="452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 x14ac:dyDescent="0.25">
      <c r="A8" s="60" t="s">
        <v>289</v>
      </c>
      <c r="B8" s="486"/>
      <c r="C8" s="173">
        <v>44590</v>
      </c>
      <c r="D8" s="195" t="s">
        <v>132</v>
      </c>
      <c r="E8" s="174" t="s">
        <v>143</v>
      </c>
      <c r="F8" s="86" t="s">
        <v>142</v>
      </c>
      <c r="G8" s="445">
        <v>1</v>
      </c>
      <c r="H8" s="446" t="s">
        <v>0</v>
      </c>
      <c r="I8" s="460">
        <v>1</v>
      </c>
      <c r="J8" s="89" t="s">
        <v>131</v>
      </c>
      <c r="K8" s="52"/>
      <c r="L8" s="495" t="str">
        <f>IF(OR(Copa2022!F16="",G8=""),"",
IF(AND(Copa2022!F16=G8,Copa2022!H16=I8),Regras!$J$25,IF(Y8=Regras!F30,Regras!$J$26,0)))</f>
        <v/>
      </c>
      <c r="M8" s="495"/>
      <c r="N8" s="316"/>
      <c r="O8" s="457"/>
      <c r="P8" s="466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 x14ac:dyDescent="0.25">
      <c r="A9" s="60" t="s">
        <v>290</v>
      </c>
      <c r="B9" s="48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443">
        <v>2</v>
      </c>
      <c r="H9" s="444" t="s">
        <v>0</v>
      </c>
      <c r="I9" s="461">
        <v>1</v>
      </c>
      <c r="J9" s="85" t="s">
        <v>123</v>
      </c>
      <c r="K9" s="52"/>
      <c r="L9" s="495">
        <f>IF(OR(Copa2022!F17="",G9=""),"",
IF(AND(Copa2022!F17=G9,Copa2022!H17=I9),Regras!$J$25,IF(Y9=Regras!F31,Regras!$J$26,0)))</f>
        <v>5</v>
      </c>
      <c r="M9" s="495"/>
      <c r="N9" s="316"/>
      <c r="O9" s="502" t="s">
        <v>48</v>
      </c>
      <c r="P9" s="503"/>
      <c r="Q9" s="324" t="str">
        <f>IF(Copa2022!F22="","",IF(Copa2022!O18=Rubiane!P10,Regras!$J$27,0))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 x14ac:dyDescent="0.2">
      <c r="A10" s="60" t="s">
        <v>291</v>
      </c>
      <c r="B10" s="485"/>
      <c r="C10" s="171">
        <v>44886</v>
      </c>
      <c r="D10" s="194" t="s">
        <v>136</v>
      </c>
      <c r="E10" s="177" t="s">
        <v>162</v>
      </c>
      <c r="F10" s="78" t="s">
        <v>145</v>
      </c>
      <c r="G10" s="441">
        <v>2</v>
      </c>
      <c r="H10" s="442" t="s">
        <v>0</v>
      </c>
      <c r="I10" s="459">
        <v>1</v>
      </c>
      <c r="J10" s="81" t="s">
        <v>158</v>
      </c>
      <c r="K10" s="52"/>
      <c r="L10" s="495">
        <f>IF(OR(Copa2022!F18="",G10=""),"",
IF(AND(Copa2022!F18=G10,Copa2022!H18=I10),Regras!$J$25,IF(Y10=Regras!F32,Regras!$J$26,0)))</f>
        <v>0</v>
      </c>
      <c r="M10" s="495"/>
      <c r="N10" s="316"/>
      <c r="O10" s="450">
        <v>1</v>
      </c>
      <c r="P10" s="449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Estados Unidos</v>
      </c>
    </row>
    <row r="11" spans="1:25" s="60" customFormat="1" ht="35.1" customHeight="1" thickBot="1" x14ac:dyDescent="0.25">
      <c r="A11" s="60" t="s">
        <v>292</v>
      </c>
      <c r="B11" s="485"/>
      <c r="C11" s="171">
        <v>44890</v>
      </c>
      <c r="D11" s="194" t="s">
        <v>133</v>
      </c>
      <c r="E11" s="177" t="s">
        <v>162</v>
      </c>
      <c r="F11" s="78" t="s">
        <v>158</v>
      </c>
      <c r="G11" s="441">
        <v>2</v>
      </c>
      <c r="H11" s="442" t="s">
        <v>0</v>
      </c>
      <c r="I11" s="459">
        <v>2</v>
      </c>
      <c r="J11" s="81" t="s">
        <v>123</v>
      </c>
      <c r="K11" s="52"/>
      <c r="L11" s="495" t="str">
        <f>IF(OR(Copa2022!F19="",G11=""),"",
IF(AND(Copa2022!F19=G11,Copa2022!H19=I11),Regras!$J$25,IF(Y11=Regras!F33,Regras!$J$26,0)))</f>
        <v/>
      </c>
      <c r="M11" s="495"/>
      <c r="N11" s="316"/>
      <c r="O11" s="453">
        <v>2</v>
      </c>
      <c r="P11" s="454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 x14ac:dyDescent="0.2">
      <c r="A12" s="60" t="s">
        <v>293</v>
      </c>
      <c r="B12" s="485"/>
      <c r="C12" s="171">
        <v>44890</v>
      </c>
      <c r="D12" s="194" t="s">
        <v>136</v>
      </c>
      <c r="E12" s="177" t="s">
        <v>161</v>
      </c>
      <c r="F12" s="78" t="s">
        <v>6</v>
      </c>
      <c r="G12" s="441">
        <v>2</v>
      </c>
      <c r="H12" s="442" t="s">
        <v>0</v>
      </c>
      <c r="I12" s="459">
        <v>1</v>
      </c>
      <c r="J12" s="81" t="s">
        <v>145</v>
      </c>
      <c r="K12" s="52"/>
      <c r="L12" s="495" t="str">
        <f>IF(OR(Copa2022!F20="",G12=""),"",
IF(AND(Copa2022!F20=G12,Copa2022!H20=I12),Regras!$J$25,IF(Y12=Regras!F34,Regras!$J$26,0)))</f>
        <v/>
      </c>
      <c r="M12" s="495"/>
      <c r="N12" s="316"/>
      <c r="O12" s="450">
        <v>3</v>
      </c>
      <c r="P12" s="449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 x14ac:dyDescent="0.25">
      <c r="A13" s="60" t="s">
        <v>294</v>
      </c>
      <c r="B13" s="485"/>
      <c r="C13" s="171">
        <v>44894</v>
      </c>
      <c r="D13" s="194" t="s">
        <v>136</v>
      </c>
      <c r="E13" s="177" t="s">
        <v>162</v>
      </c>
      <c r="F13" s="78" t="s">
        <v>158</v>
      </c>
      <c r="G13" s="441">
        <v>2</v>
      </c>
      <c r="H13" s="442" t="s">
        <v>0</v>
      </c>
      <c r="I13" s="459">
        <v>2</v>
      </c>
      <c r="J13" s="81" t="s">
        <v>6</v>
      </c>
      <c r="K13" s="52"/>
      <c r="L13" s="495" t="str">
        <f>IF(OR(Copa2022!F21="",G13=""),"",
IF(AND(Copa2022!F21=G13,Copa2022!H21=I13),Regras!$J$25,IF(Y13=Regras!F35,Regras!$J$26,0)))</f>
        <v/>
      </c>
      <c r="M13" s="495"/>
      <c r="N13" s="316"/>
      <c r="O13" s="451">
        <v>4</v>
      </c>
      <c r="P13" s="452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 x14ac:dyDescent="0.25">
      <c r="A14" s="60" t="s">
        <v>295</v>
      </c>
      <c r="B14" s="486"/>
      <c r="C14" s="173">
        <v>44894</v>
      </c>
      <c r="D14" s="195" t="s">
        <v>136</v>
      </c>
      <c r="E14" s="178" t="s">
        <v>157</v>
      </c>
      <c r="F14" s="90" t="s">
        <v>123</v>
      </c>
      <c r="G14" s="447">
        <v>1</v>
      </c>
      <c r="H14" s="448" t="s">
        <v>0</v>
      </c>
      <c r="I14" s="462">
        <v>2</v>
      </c>
      <c r="J14" s="93" t="s">
        <v>145</v>
      </c>
      <c r="K14" s="52"/>
      <c r="L14" s="495" t="str">
        <f>IF(OR(Copa2022!F22="",G14=""),"",
IF(AND(Copa2022!F22=G14,Copa2022!H22=I14),Regras!$J$25,IF(Y14=Regras!F36,Regras!$J$26,0)))</f>
        <v/>
      </c>
      <c r="M14" s="495"/>
      <c r="N14" s="316"/>
      <c r="O14" s="438"/>
      <c r="P14" s="449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 x14ac:dyDescent="0.25">
      <c r="A15" s="60" t="s">
        <v>296</v>
      </c>
      <c r="B15" s="48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439">
        <v>2</v>
      </c>
      <c r="H15" s="440" t="s">
        <v>0</v>
      </c>
      <c r="I15" s="458">
        <v>1</v>
      </c>
      <c r="J15" s="77" t="s">
        <v>125</v>
      </c>
      <c r="K15" s="52"/>
      <c r="L15" s="495">
        <f>IF(OR(Copa2022!F23="",G15=""),"",
IF(AND(Copa2022!F23=G15,Copa2022!H23=I15),Regras!$J$25,IF(Y15=Regras!F37,Regras!$J$26,0)))</f>
        <v>0</v>
      </c>
      <c r="M15" s="495"/>
      <c r="N15" s="316"/>
      <c r="O15" s="502" t="s">
        <v>50</v>
      </c>
      <c r="P15" s="503"/>
      <c r="Q15" s="324" t="str">
        <f>IF(Copa2022!F28="","",IF(Copa2022!O24=Rubiane!P16,Regras!$J$27,0))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 x14ac:dyDescent="0.2">
      <c r="A16" s="60" t="s">
        <v>297</v>
      </c>
      <c r="B16" s="485"/>
      <c r="C16" s="171">
        <v>44887</v>
      </c>
      <c r="D16" s="194" t="s">
        <v>134</v>
      </c>
      <c r="E16" s="172" t="s">
        <v>163</v>
      </c>
      <c r="F16" s="78" t="s">
        <v>1</v>
      </c>
      <c r="G16" s="441">
        <v>1</v>
      </c>
      <c r="H16" s="442" t="s">
        <v>0</v>
      </c>
      <c r="I16" s="459">
        <v>0</v>
      </c>
      <c r="J16" s="81" t="s">
        <v>130</v>
      </c>
      <c r="K16" s="52"/>
      <c r="L16" s="495">
        <f>IF(OR(Copa2022!F24="",G16=""),"",
IF(AND(Copa2022!F24=G16,Copa2022!H24=I16),Regras!$J$25,IF(Y16=Regras!F38,Regras!$J$26,0)))</f>
        <v>0</v>
      </c>
      <c r="M16" s="495"/>
      <c r="N16" s="316"/>
      <c r="O16" s="450">
        <v>1</v>
      </c>
      <c r="P16" s="449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México</v>
      </c>
    </row>
    <row r="17" spans="1:25" s="60" customFormat="1" ht="35.1" customHeight="1" thickBot="1" x14ac:dyDescent="0.25">
      <c r="A17" s="60" t="s">
        <v>298</v>
      </c>
      <c r="B17" s="485"/>
      <c r="C17" s="171">
        <v>44891</v>
      </c>
      <c r="D17" s="194" t="s">
        <v>135</v>
      </c>
      <c r="E17" s="172" t="s">
        <v>148</v>
      </c>
      <c r="F17" s="78" t="s">
        <v>130</v>
      </c>
      <c r="G17" s="441">
        <v>1</v>
      </c>
      <c r="H17" s="442" t="s">
        <v>0</v>
      </c>
      <c r="I17" s="459">
        <v>2</v>
      </c>
      <c r="J17" s="81" t="s">
        <v>125</v>
      </c>
      <c r="K17" s="52"/>
      <c r="L17" s="495" t="str">
        <f>IF(OR(Copa2022!F25="",G17=""),"",
IF(AND(Copa2022!F25=G17,Copa2022!H25=I17),Regras!$J$25,IF(Y17=Regras!F39,Regras!$J$26,0)))</f>
        <v/>
      </c>
      <c r="M17" s="495"/>
      <c r="N17" s="316"/>
      <c r="O17" s="453">
        <v>2</v>
      </c>
      <c r="P17" s="454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 x14ac:dyDescent="0.2">
      <c r="A18" s="60" t="s">
        <v>299</v>
      </c>
      <c r="B18" s="485"/>
      <c r="C18" s="171">
        <v>44891</v>
      </c>
      <c r="D18" s="194" t="s">
        <v>136</v>
      </c>
      <c r="E18" s="172" t="s">
        <v>146</v>
      </c>
      <c r="F18" s="78" t="s">
        <v>4</v>
      </c>
      <c r="G18" s="441">
        <v>2</v>
      </c>
      <c r="H18" s="442" t="s">
        <v>0</v>
      </c>
      <c r="I18" s="459">
        <v>1</v>
      </c>
      <c r="J18" s="81" t="s">
        <v>1</v>
      </c>
      <c r="K18" s="52"/>
      <c r="L18" s="495" t="str">
        <f>IF(OR(Copa2022!F26="",G18=""),"",
IF(AND(Copa2022!F26=G18,Copa2022!H26=I18),Regras!$J$25,IF(Y18=Regras!F40,Regras!$J$26,0)))</f>
        <v/>
      </c>
      <c r="M18" s="495"/>
      <c r="N18" s="316"/>
      <c r="O18" s="450">
        <v>3</v>
      </c>
      <c r="P18" s="449" t="s">
        <v>125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 x14ac:dyDescent="0.25">
      <c r="A19" s="60" t="s">
        <v>300</v>
      </c>
      <c r="B19" s="485"/>
      <c r="C19" s="171">
        <v>44895</v>
      </c>
      <c r="D19" s="194" t="s">
        <v>136</v>
      </c>
      <c r="E19" s="172" t="s">
        <v>163</v>
      </c>
      <c r="F19" s="78" t="s">
        <v>130</v>
      </c>
      <c r="G19" s="441">
        <v>1</v>
      </c>
      <c r="H19" s="442" t="s">
        <v>0</v>
      </c>
      <c r="I19" s="459">
        <v>2</v>
      </c>
      <c r="J19" s="81" t="s">
        <v>4</v>
      </c>
      <c r="K19" s="52"/>
      <c r="L19" s="495" t="str">
        <f>IF(OR(Copa2022!F27="",G19=""),"",
IF(AND(Copa2022!F27=G19,Copa2022!H27=I19),Regras!$J$25,IF(Y19=Regras!F41,Regras!$J$26,0)))</f>
        <v/>
      </c>
      <c r="M19" s="495"/>
      <c r="N19" s="316"/>
      <c r="O19" s="451">
        <v>4</v>
      </c>
      <c r="P19" s="452" t="s">
        <v>130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 x14ac:dyDescent="0.25">
      <c r="A20" s="60" t="s">
        <v>301</v>
      </c>
      <c r="B20" s="486"/>
      <c r="C20" s="173">
        <v>44895</v>
      </c>
      <c r="D20" s="195" t="s">
        <v>136</v>
      </c>
      <c r="E20" s="174" t="s">
        <v>146</v>
      </c>
      <c r="F20" s="86" t="s">
        <v>125</v>
      </c>
      <c r="G20" s="445">
        <v>0</v>
      </c>
      <c r="H20" s="446" t="s">
        <v>0</v>
      </c>
      <c r="I20" s="460">
        <v>2</v>
      </c>
      <c r="J20" s="89" t="s">
        <v>1</v>
      </c>
      <c r="K20" s="52"/>
      <c r="L20" s="495" t="str">
        <f>IF(OR(Copa2022!F28="",G20=""),"",
IF(AND(Copa2022!F28=G20,Copa2022!H28=I20),Regras!$J$25,IF(Y20=Regras!F42,Regras!$J$26,0)))</f>
        <v/>
      </c>
      <c r="M20" s="495"/>
      <c r="N20" s="316"/>
      <c r="O20" s="438"/>
      <c r="P20" s="449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 x14ac:dyDescent="0.25">
      <c r="A21" s="60" t="s">
        <v>302</v>
      </c>
      <c r="B21" s="48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443">
        <v>1</v>
      </c>
      <c r="H21" s="444" t="s">
        <v>0</v>
      </c>
      <c r="I21" s="461">
        <v>1</v>
      </c>
      <c r="J21" s="85" t="s">
        <v>129</v>
      </c>
      <c r="K21" s="52"/>
      <c r="L21" s="495">
        <f>IF(OR(Copa2022!F29="",G21=""),"",
IF(AND(Copa2022!F29=G21,Copa2022!H29=I21),Regras!$J$25,IF(Y21=Regras!F43,Regras!$J$26,0)))</f>
        <v>5</v>
      </c>
      <c r="M21" s="495"/>
      <c r="N21" s="316"/>
      <c r="O21" s="502" t="s">
        <v>51</v>
      </c>
      <c r="P21" s="503"/>
      <c r="Q21" s="324" t="str">
        <f>IF(Copa2022!F34="","",IF(Copa2022!O30=Rubiane!P22,Regras!$J$27,0))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empate</v>
      </c>
    </row>
    <row r="22" spans="1:25" s="60" customFormat="1" ht="35.1" customHeight="1" x14ac:dyDescent="0.2">
      <c r="A22" s="60" t="s">
        <v>303</v>
      </c>
      <c r="B22" s="485"/>
      <c r="C22" s="171">
        <v>44887</v>
      </c>
      <c r="D22" s="194" t="s">
        <v>136</v>
      </c>
      <c r="E22" s="177" t="s">
        <v>164</v>
      </c>
      <c r="F22" s="78" t="s">
        <v>3</v>
      </c>
      <c r="G22" s="441">
        <v>2</v>
      </c>
      <c r="H22" s="442" t="s">
        <v>0</v>
      </c>
      <c r="I22" s="459">
        <v>0</v>
      </c>
      <c r="J22" s="81" t="s">
        <v>159</v>
      </c>
      <c r="K22" s="52"/>
      <c r="L22" s="495">
        <f>IF(OR(Copa2022!F30="",G22=""),"",
IF(AND(Copa2022!F30=G22,Copa2022!H30=I22),Regras!$J$25,IF(Y22=Regras!F44,Regras!$J$26,0)))</f>
        <v>5</v>
      </c>
      <c r="M22" s="495"/>
      <c r="N22" s="316"/>
      <c r="O22" s="450">
        <v>1</v>
      </c>
      <c r="P22" s="449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 x14ac:dyDescent="0.25">
      <c r="A23" s="60" t="s">
        <v>304</v>
      </c>
      <c r="B23" s="485"/>
      <c r="C23" s="171">
        <v>44891</v>
      </c>
      <c r="D23" s="194" t="s">
        <v>133</v>
      </c>
      <c r="E23" s="177" t="s">
        <v>164</v>
      </c>
      <c r="F23" s="78" t="s">
        <v>129</v>
      </c>
      <c r="G23" s="441">
        <v>1</v>
      </c>
      <c r="H23" s="442" t="s">
        <v>0</v>
      </c>
      <c r="I23" s="459">
        <v>1</v>
      </c>
      <c r="J23" s="81" t="s">
        <v>159</v>
      </c>
      <c r="K23" s="52"/>
      <c r="L23" s="495" t="str">
        <f>IF(OR(Copa2022!F31="",G23=""),"",
IF(AND(Copa2022!F31=G23,Copa2022!H31=I23),Regras!$J$25,IF(Y23=Regras!F45,Regras!$J$26,0)))</f>
        <v/>
      </c>
      <c r="M23" s="495"/>
      <c r="N23" s="316"/>
      <c r="O23" s="453">
        <v>2</v>
      </c>
      <c r="P23" s="454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 x14ac:dyDescent="0.2">
      <c r="A24" s="60" t="s">
        <v>305</v>
      </c>
      <c r="B24" s="485"/>
      <c r="C24" s="171">
        <v>44891</v>
      </c>
      <c r="D24" s="194" t="s">
        <v>134</v>
      </c>
      <c r="E24" s="177" t="s">
        <v>163</v>
      </c>
      <c r="F24" s="78" t="s">
        <v>3</v>
      </c>
      <c r="G24" s="441">
        <v>1</v>
      </c>
      <c r="H24" s="442" t="s">
        <v>0</v>
      </c>
      <c r="I24" s="459">
        <v>1</v>
      </c>
      <c r="J24" s="81" t="s">
        <v>127</v>
      </c>
      <c r="K24" s="52"/>
      <c r="L24" s="495" t="str">
        <f>IF(OR(Copa2022!F32="",G24=""),"",
IF(AND(Copa2022!F32=G24,Copa2022!H32=I24),Regras!$J$25,IF(Y24=Regras!F46,Regras!$J$26,0)))</f>
        <v/>
      </c>
      <c r="M24" s="495"/>
      <c r="N24" s="316"/>
      <c r="O24" s="450">
        <v>3</v>
      </c>
      <c r="P24" s="449" t="s">
        <v>129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 x14ac:dyDescent="0.25">
      <c r="A25" s="60" t="s">
        <v>306</v>
      </c>
      <c r="B25" s="485"/>
      <c r="C25" s="171">
        <v>44895</v>
      </c>
      <c r="D25" s="194" t="s">
        <v>132</v>
      </c>
      <c r="E25" s="177" t="s">
        <v>148</v>
      </c>
      <c r="F25" s="78" t="s">
        <v>129</v>
      </c>
      <c r="G25" s="441">
        <v>0</v>
      </c>
      <c r="H25" s="442" t="s">
        <v>0</v>
      </c>
      <c r="I25" s="459">
        <v>1</v>
      </c>
      <c r="J25" s="81" t="s">
        <v>3</v>
      </c>
      <c r="K25" s="52"/>
      <c r="L25" s="495" t="str">
        <f>IF(OR(Copa2022!F33="",G25=""),"",
IF(AND(Copa2022!F33=G25,Copa2022!H33=I25),Regras!$J$25,IF(Y25=Regras!F47,Regras!$J$26,0)))</f>
        <v/>
      </c>
      <c r="M25" s="495"/>
      <c r="N25" s="316"/>
      <c r="O25" s="451">
        <v>4</v>
      </c>
      <c r="P25" s="452" t="s">
        <v>159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 x14ac:dyDescent="0.25">
      <c r="A26" s="60" t="s">
        <v>307</v>
      </c>
      <c r="B26" s="486"/>
      <c r="C26" s="173">
        <v>44895</v>
      </c>
      <c r="D26" s="195" t="s">
        <v>132</v>
      </c>
      <c r="E26" s="178" t="s">
        <v>164</v>
      </c>
      <c r="F26" s="90" t="s">
        <v>159</v>
      </c>
      <c r="G26" s="447">
        <v>2</v>
      </c>
      <c r="H26" s="448" t="s">
        <v>0</v>
      </c>
      <c r="I26" s="462">
        <v>2</v>
      </c>
      <c r="J26" s="93" t="s">
        <v>127</v>
      </c>
      <c r="K26" s="52"/>
      <c r="L26" s="495" t="str">
        <f>IF(OR(Copa2022!F34="",G26=""),"",
IF(AND(Copa2022!F34=G26,Copa2022!H34=I26),Regras!$J$25,IF(Y26=Regras!F48,Regras!$J$26,0)))</f>
        <v/>
      </c>
      <c r="M26" s="495"/>
      <c r="N26" s="316"/>
      <c r="O26" s="438"/>
      <c r="P26" s="449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 x14ac:dyDescent="0.25">
      <c r="A27" s="60" t="s">
        <v>308</v>
      </c>
      <c r="B27" s="48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439">
        <v>2</v>
      </c>
      <c r="H27" s="440" t="s">
        <v>0</v>
      </c>
      <c r="I27" s="458">
        <v>0</v>
      </c>
      <c r="J27" s="77" t="s">
        <v>8</v>
      </c>
      <c r="K27" s="52"/>
      <c r="L27" s="495" t="str">
        <f>IF(OR(Copa2022!F35="",G27=""),"",
IF(AND(Copa2022!F35=G27,Copa2022!H35=I27),Regras!$J$25,IF(Y27=Regras!F49,Regras!$J$26,0)))</f>
        <v/>
      </c>
      <c r="M27" s="495"/>
      <c r="N27" s="316"/>
      <c r="O27" s="502" t="s">
        <v>53</v>
      </c>
      <c r="P27" s="503"/>
      <c r="Q27" s="324" t="str">
        <f>IF(Copa2022!F40="","",IF(Copa2022!O36=Rubiane!P28,Regras!$J$27,0))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 x14ac:dyDescent="0.2">
      <c r="A28" s="60" t="s">
        <v>309</v>
      </c>
      <c r="B28" s="485"/>
      <c r="C28" s="171">
        <v>44888</v>
      </c>
      <c r="D28" s="194" t="s">
        <v>134</v>
      </c>
      <c r="E28" s="172" t="s">
        <v>157</v>
      </c>
      <c r="F28" s="78" t="s">
        <v>11</v>
      </c>
      <c r="G28" s="441">
        <v>2</v>
      </c>
      <c r="H28" s="442" t="s">
        <v>0</v>
      </c>
      <c r="I28" s="459">
        <v>1</v>
      </c>
      <c r="J28" s="81" t="s">
        <v>160</v>
      </c>
      <c r="K28" s="52"/>
      <c r="L28" s="495" t="str">
        <f>IF(OR(Copa2022!F36="",G28=""),"",
IF(AND(Copa2022!F36=G28,Copa2022!H36=I28),Regras!$J$25,IF(Y28=Regras!F50,Regras!$J$26,0)))</f>
        <v/>
      </c>
      <c r="M28" s="495"/>
      <c r="N28" s="316"/>
      <c r="O28" s="450">
        <v>1</v>
      </c>
      <c r="P28" s="449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 x14ac:dyDescent="0.25">
      <c r="A29" s="60" t="s">
        <v>310</v>
      </c>
      <c r="B29" s="485"/>
      <c r="C29" s="171">
        <v>44892</v>
      </c>
      <c r="D29" s="194" t="s">
        <v>133</v>
      </c>
      <c r="E29" s="172" t="s">
        <v>162</v>
      </c>
      <c r="F29" s="78" t="s">
        <v>8</v>
      </c>
      <c r="G29" s="441">
        <v>2</v>
      </c>
      <c r="H29" s="442" t="s">
        <v>0</v>
      </c>
      <c r="I29" s="459">
        <v>2</v>
      </c>
      <c r="J29" s="81" t="s">
        <v>160</v>
      </c>
      <c r="K29" s="52"/>
      <c r="L29" s="495" t="str">
        <f>IF(OR(Copa2022!F37="",G29=""),"",
IF(AND(Copa2022!F37=G29,Copa2022!H37=I29),Regras!$J$25,IF(Y29=Regras!F51,Regras!$J$26,0)))</f>
        <v/>
      </c>
      <c r="M29" s="495"/>
      <c r="N29" s="316"/>
      <c r="O29" s="453">
        <v>2</v>
      </c>
      <c r="P29" s="454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 x14ac:dyDescent="0.2">
      <c r="A30" s="60" t="s">
        <v>311</v>
      </c>
      <c r="B30" s="485"/>
      <c r="C30" s="171">
        <v>44892</v>
      </c>
      <c r="D30" s="194" t="s">
        <v>136</v>
      </c>
      <c r="E30" s="172" t="s">
        <v>161</v>
      </c>
      <c r="F30" s="78" t="s">
        <v>11</v>
      </c>
      <c r="G30" s="441">
        <v>2</v>
      </c>
      <c r="H30" s="442" t="s">
        <v>0</v>
      </c>
      <c r="I30" s="459">
        <v>2</v>
      </c>
      <c r="J30" s="81" t="s">
        <v>7</v>
      </c>
      <c r="K30" s="52"/>
      <c r="L30" s="495" t="str">
        <f>IF(OR(Copa2022!F38="",G30=""),"",
IF(AND(Copa2022!F38=G30,Copa2022!H38=I30),Regras!$J$25,IF(Y30=Regras!F52,Regras!$J$26,0)))</f>
        <v/>
      </c>
      <c r="M30" s="495"/>
      <c r="N30" s="316"/>
      <c r="O30" s="450">
        <v>3</v>
      </c>
      <c r="P30" s="449" t="s">
        <v>160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 x14ac:dyDescent="0.25">
      <c r="A31" s="60" t="s">
        <v>312</v>
      </c>
      <c r="B31" s="485"/>
      <c r="C31" s="171">
        <v>44896</v>
      </c>
      <c r="D31" s="194" t="s">
        <v>136</v>
      </c>
      <c r="E31" s="172" t="s">
        <v>143</v>
      </c>
      <c r="F31" s="78" t="s">
        <v>8</v>
      </c>
      <c r="G31" s="441">
        <v>1</v>
      </c>
      <c r="H31" s="442" t="s">
        <v>0</v>
      </c>
      <c r="I31" s="459">
        <v>2</v>
      </c>
      <c r="J31" s="81" t="s">
        <v>11</v>
      </c>
      <c r="K31" s="52"/>
      <c r="L31" s="495" t="str">
        <f>IF(OR(Copa2022!F39="",G31=""),"",
IF(AND(Copa2022!F39=G31,Copa2022!H39=I31),Regras!$J$25,IF(Y31=Regras!F53,Regras!$J$26,0)))</f>
        <v/>
      </c>
      <c r="M31" s="495"/>
      <c r="N31" s="316"/>
      <c r="O31" s="451">
        <v>4</v>
      </c>
      <c r="P31" s="452" t="s">
        <v>8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 x14ac:dyDescent="0.25">
      <c r="A32" s="60" t="s">
        <v>313</v>
      </c>
      <c r="B32" s="486"/>
      <c r="C32" s="173">
        <v>44896</v>
      </c>
      <c r="D32" s="195" t="s">
        <v>136</v>
      </c>
      <c r="E32" s="174" t="s">
        <v>161</v>
      </c>
      <c r="F32" s="86" t="s">
        <v>160</v>
      </c>
      <c r="G32" s="445">
        <v>0</v>
      </c>
      <c r="H32" s="446" t="s">
        <v>0</v>
      </c>
      <c r="I32" s="460">
        <v>1</v>
      </c>
      <c r="J32" s="89" t="s">
        <v>7</v>
      </c>
      <c r="K32" s="52"/>
      <c r="L32" s="495" t="str">
        <f>IF(OR(Copa2022!F40="",G32=""),"",
IF(AND(Copa2022!F40=G32,Copa2022!H40=I32),Regras!$J$25,IF(Y32=Regras!F54,Regras!$J$26,0)))</f>
        <v/>
      </c>
      <c r="M32" s="495"/>
      <c r="N32" s="316"/>
      <c r="O32" s="438"/>
      <c r="P32" s="449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 x14ac:dyDescent="0.25">
      <c r="A33" s="60" t="s">
        <v>314</v>
      </c>
      <c r="B33" s="48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443">
        <v>0</v>
      </c>
      <c r="H33" s="444" t="s">
        <v>0</v>
      </c>
      <c r="I33" s="461">
        <v>1</v>
      </c>
      <c r="J33" s="85" t="s">
        <v>70</v>
      </c>
      <c r="K33" s="52"/>
      <c r="L33" s="495" t="str">
        <f>IF(OR(Copa2022!F41="",G33=""),"",
IF(AND(Copa2022!F41=G33,Copa2022!H41=I33),Regras!$J$25,IF(Y33=Regras!F55,Regras!$J$26,0)))</f>
        <v/>
      </c>
      <c r="M33" s="495"/>
      <c r="N33" s="316"/>
      <c r="O33" s="502" t="s">
        <v>56</v>
      </c>
      <c r="P33" s="503"/>
      <c r="Q33" s="324" t="str">
        <f>IF(Copa2022!F46="","",IF(Copa2022!O42=Rubiane!P34,Regras!$J$27,0))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/>
      </c>
    </row>
    <row r="34" spans="1:25" s="60" customFormat="1" ht="35.1" customHeight="1" x14ac:dyDescent="0.2">
      <c r="A34" s="60" t="s">
        <v>315</v>
      </c>
      <c r="B34" s="485"/>
      <c r="C34" s="171">
        <v>44888</v>
      </c>
      <c r="D34" s="194" t="s">
        <v>136</v>
      </c>
      <c r="E34" s="177" t="s">
        <v>162</v>
      </c>
      <c r="F34" s="78" t="s">
        <v>104</v>
      </c>
      <c r="G34" s="441">
        <v>2</v>
      </c>
      <c r="H34" s="442" t="s">
        <v>0</v>
      </c>
      <c r="I34" s="459">
        <v>1</v>
      </c>
      <c r="J34" s="81" t="s">
        <v>150</v>
      </c>
      <c r="K34" s="52"/>
      <c r="L34" s="495" t="str">
        <f>IF(OR(Copa2022!F42="",G34=""),"",
IF(AND(Copa2022!F42=G34,Copa2022!H42=I34),Regras!$J$25,IF(Y34=Regras!F56,Regras!$J$26,0)))</f>
        <v/>
      </c>
      <c r="M34" s="495"/>
      <c r="N34" s="316"/>
      <c r="O34" s="450">
        <v>1</v>
      </c>
      <c r="P34" s="449" t="s">
        <v>70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 x14ac:dyDescent="0.25">
      <c r="A35" s="60" t="s">
        <v>316</v>
      </c>
      <c r="B35" s="485"/>
      <c r="C35" s="171">
        <v>44892</v>
      </c>
      <c r="D35" s="194" t="s">
        <v>135</v>
      </c>
      <c r="E35" s="177" t="s">
        <v>157</v>
      </c>
      <c r="F35" s="78" t="s">
        <v>104</v>
      </c>
      <c r="G35" s="441">
        <v>2</v>
      </c>
      <c r="H35" s="442" t="s">
        <v>0</v>
      </c>
      <c r="I35" s="459">
        <v>0</v>
      </c>
      <c r="J35" s="81" t="s">
        <v>126</v>
      </c>
      <c r="K35" s="52"/>
      <c r="L35" s="495" t="str">
        <f>IF(OR(Copa2022!F43="",G35=""),"",
IF(AND(Copa2022!F43=G35,Copa2022!H43=I35),Regras!$J$25,IF(Y35=Regras!F57,Regras!$J$26,0)))</f>
        <v/>
      </c>
      <c r="M35" s="495"/>
      <c r="N35" s="316"/>
      <c r="O35" s="453">
        <v>2</v>
      </c>
      <c r="P35" s="454" t="s">
        <v>104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 x14ac:dyDescent="0.2">
      <c r="A36" s="60" t="s">
        <v>317</v>
      </c>
      <c r="B36" s="485"/>
      <c r="C36" s="171">
        <v>44892</v>
      </c>
      <c r="D36" s="194" t="s">
        <v>134</v>
      </c>
      <c r="E36" s="177" t="s">
        <v>143</v>
      </c>
      <c r="F36" s="78" t="s">
        <v>70</v>
      </c>
      <c r="G36" s="441">
        <v>2</v>
      </c>
      <c r="H36" s="442" t="s">
        <v>0</v>
      </c>
      <c r="I36" s="459">
        <v>2</v>
      </c>
      <c r="J36" s="81" t="s">
        <v>150</v>
      </c>
      <c r="K36" s="52"/>
      <c r="L36" s="495" t="str">
        <f>IF(OR(Copa2022!F44="",G36=""),"",
IF(AND(Copa2022!F44=G36,Copa2022!H44=I36),Regras!$J$25,IF(Y36=Regras!F58,Regras!$J$26,0)))</f>
        <v/>
      </c>
      <c r="M36" s="495"/>
      <c r="N36" s="316"/>
      <c r="O36" s="450">
        <v>3</v>
      </c>
      <c r="P36" s="449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 x14ac:dyDescent="0.25">
      <c r="A37" s="60" t="s">
        <v>318</v>
      </c>
      <c r="B37" s="485"/>
      <c r="C37" s="171">
        <v>44896</v>
      </c>
      <c r="D37" s="194" t="s">
        <v>132</v>
      </c>
      <c r="E37" s="177" t="s">
        <v>162</v>
      </c>
      <c r="F37" s="78" t="s">
        <v>70</v>
      </c>
      <c r="G37" s="441">
        <v>2</v>
      </c>
      <c r="H37" s="442" t="s">
        <v>0</v>
      </c>
      <c r="I37" s="459">
        <v>1</v>
      </c>
      <c r="J37" s="81" t="s">
        <v>104</v>
      </c>
      <c r="K37" s="52"/>
      <c r="L37" s="495" t="str">
        <f>IF(OR(Copa2022!F45="",G37=""),"",
IF(AND(Copa2022!F45=G37,Copa2022!H45=I37),Regras!$J$25,IF(Y37=Regras!F59,Regras!$J$26,0)))</f>
        <v/>
      </c>
      <c r="M37" s="495"/>
      <c r="N37" s="316"/>
      <c r="O37" s="451">
        <v>4</v>
      </c>
      <c r="P37" s="452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 x14ac:dyDescent="0.25">
      <c r="A38" s="60" t="s">
        <v>319</v>
      </c>
      <c r="B38" s="486"/>
      <c r="C38" s="173">
        <v>44896</v>
      </c>
      <c r="D38" s="195" t="s">
        <v>132</v>
      </c>
      <c r="E38" s="178" t="s">
        <v>157</v>
      </c>
      <c r="F38" s="90" t="s">
        <v>150</v>
      </c>
      <c r="G38" s="447">
        <v>1</v>
      </c>
      <c r="H38" s="448" t="s">
        <v>0</v>
      </c>
      <c r="I38" s="462">
        <v>1</v>
      </c>
      <c r="J38" s="93" t="s">
        <v>126</v>
      </c>
      <c r="K38" s="52"/>
      <c r="L38" s="495" t="str">
        <f>IF(OR(Copa2022!F46="",G38=""),"",
IF(AND(Copa2022!F46=G38,Copa2022!H46=I38),Regras!$J$25,IF(Y38=Regras!F60,Regras!$J$26,0)))</f>
        <v/>
      </c>
      <c r="M38" s="495"/>
      <c r="N38" s="316"/>
      <c r="O38" s="438"/>
      <c r="P38" s="449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 x14ac:dyDescent="0.25">
      <c r="A39" s="60" t="s">
        <v>320</v>
      </c>
      <c r="B39" s="48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439">
        <v>2</v>
      </c>
      <c r="H39" s="440" t="s">
        <v>0</v>
      </c>
      <c r="I39" s="458">
        <v>2</v>
      </c>
      <c r="J39" s="77" t="s">
        <v>151</v>
      </c>
      <c r="K39" s="52"/>
      <c r="L39" s="495" t="str">
        <f>IF(OR(Copa2022!F47="",G39=""),"",
IF(AND(Copa2022!F47=G39,Copa2022!H47=I39),Regras!$J$25,IF(Y39=Regras!F61,Regras!$J$26,0)))</f>
        <v/>
      </c>
      <c r="M39" s="495"/>
      <c r="N39" s="316"/>
      <c r="O39" s="502" t="s">
        <v>58</v>
      </c>
      <c r="P39" s="503"/>
      <c r="Q39" s="324" t="str">
        <f>IF(Copa2022!F52="","",IF(Copa2022!O48=Rubiane!P40,Regras!$J$27,0))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 x14ac:dyDescent="0.2">
      <c r="A40" s="60" t="s">
        <v>321</v>
      </c>
      <c r="B40" s="485"/>
      <c r="C40" s="171">
        <v>44889</v>
      </c>
      <c r="D40" s="194" t="s">
        <v>136</v>
      </c>
      <c r="E40" s="172" t="s">
        <v>146</v>
      </c>
      <c r="F40" s="78" t="s">
        <v>10</v>
      </c>
      <c r="G40" s="441">
        <v>3</v>
      </c>
      <c r="H40" s="442" t="s">
        <v>0</v>
      </c>
      <c r="I40" s="459">
        <v>1</v>
      </c>
      <c r="J40" s="81" t="s">
        <v>128</v>
      </c>
      <c r="K40" s="52"/>
      <c r="L40" s="495" t="str">
        <f>IF(OR(Copa2022!F48="",G40=""),"",
IF(AND(Copa2022!F48=G40,Copa2022!H48=I40),Regras!$J$25,IF(Y40=Regras!F62,Regras!$J$26,0)))</f>
        <v/>
      </c>
      <c r="M40" s="495"/>
      <c r="N40" s="316"/>
      <c r="O40" s="455">
        <v>1</v>
      </c>
      <c r="P40" s="456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 x14ac:dyDescent="0.25">
      <c r="A41" s="60" t="s">
        <v>322</v>
      </c>
      <c r="B41" s="485"/>
      <c r="C41" s="171">
        <v>44893</v>
      </c>
      <c r="D41" s="194" t="s">
        <v>133</v>
      </c>
      <c r="E41" s="172" t="s">
        <v>164</v>
      </c>
      <c r="F41" s="78" t="s">
        <v>151</v>
      </c>
      <c r="G41" s="441">
        <v>2</v>
      </c>
      <c r="H41" s="442" t="s">
        <v>0</v>
      </c>
      <c r="I41" s="459">
        <v>0</v>
      </c>
      <c r="J41" s="81" t="s">
        <v>128</v>
      </c>
      <c r="K41" s="52"/>
      <c r="L41" s="495" t="str">
        <f>IF(OR(Copa2022!F49="",G41=""),"",
IF(AND(Copa2022!F49=G41,Copa2022!H49=I41),Regras!$J$25,IF(Y41=Regras!F63,Regras!$J$26,0)))</f>
        <v/>
      </c>
      <c r="M41" s="495"/>
      <c r="N41" s="316"/>
      <c r="O41" s="453">
        <v>2</v>
      </c>
      <c r="P41" s="454" t="s">
        <v>151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 x14ac:dyDescent="0.2">
      <c r="A42" s="60" t="s">
        <v>323</v>
      </c>
      <c r="B42" s="485"/>
      <c r="C42" s="171">
        <v>44893</v>
      </c>
      <c r="D42" s="194" t="s">
        <v>134</v>
      </c>
      <c r="E42" s="172" t="s">
        <v>163</v>
      </c>
      <c r="F42" s="78" t="s">
        <v>10</v>
      </c>
      <c r="G42" s="441">
        <v>2</v>
      </c>
      <c r="H42" s="442" t="s">
        <v>0</v>
      </c>
      <c r="I42" s="459">
        <v>1</v>
      </c>
      <c r="J42" s="81" t="s">
        <v>12</v>
      </c>
      <c r="K42" s="52"/>
      <c r="L42" s="495" t="str">
        <f>IF(OR(Copa2022!F50="",G42=""),"",
IF(AND(Copa2022!F50=G42,Copa2022!H50=I42),Regras!$J$25,IF(Y42=Regras!F64,Regras!$J$26,0)))</f>
        <v/>
      </c>
      <c r="M42" s="495"/>
      <c r="N42" s="316"/>
      <c r="O42" s="450">
        <v>3</v>
      </c>
      <c r="P42" s="449" t="s">
        <v>12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 x14ac:dyDescent="0.25">
      <c r="A43" s="60" t="s">
        <v>324</v>
      </c>
      <c r="B43" s="485"/>
      <c r="C43" s="171">
        <v>44897</v>
      </c>
      <c r="D43" s="194" t="s">
        <v>136</v>
      </c>
      <c r="E43" s="172" t="s">
        <v>146</v>
      </c>
      <c r="F43" s="78" t="s">
        <v>151</v>
      </c>
      <c r="G43" s="441">
        <v>1</v>
      </c>
      <c r="H43" s="442" t="s">
        <v>0</v>
      </c>
      <c r="I43" s="459">
        <v>2</v>
      </c>
      <c r="J43" s="81" t="s">
        <v>10</v>
      </c>
      <c r="K43" s="52"/>
      <c r="L43" s="495" t="str">
        <f>IF(OR(Copa2022!F51="",G43=""),"",
IF(AND(Copa2022!F51=G43,Copa2022!H51=I43),Regras!$J$25,IF(Y43=Regras!F65,Regras!$J$26,0)))</f>
        <v/>
      </c>
      <c r="M43" s="495"/>
      <c r="N43" s="316"/>
      <c r="O43" s="451">
        <v>4</v>
      </c>
      <c r="P43" s="452" t="s">
        <v>128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 x14ac:dyDescent="0.25">
      <c r="A44" s="60" t="s">
        <v>325</v>
      </c>
      <c r="B44" s="486"/>
      <c r="C44" s="173">
        <v>44897</v>
      </c>
      <c r="D44" s="195" t="s">
        <v>136</v>
      </c>
      <c r="E44" s="174" t="s">
        <v>163</v>
      </c>
      <c r="F44" s="86" t="s">
        <v>128</v>
      </c>
      <c r="G44" s="445">
        <v>1</v>
      </c>
      <c r="H44" s="446" t="s">
        <v>0</v>
      </c>
      <c r="I44" s="460">
        <v>1</v>
      </c>
      <c r="J44" s="89" t="s">
        <v>12</v>
      </c>
      <c r="K44" s="52"/>
      <c r="L44" s="495" t="str">
        <f>IF(OR(Copa2022!F52="",G44=""),"",
IF(AND(Copa2022!F52=G44,Copa2022!H52=I44),Regras!$J$25,IF(Y44=Regras!F66,Regras!$J$26,0)))</f>
        <v/>
      </c>
      <c r="M44" s="495"/>
      <c r="N44" s="316"/>
      <c r="O44" s="438"/>
      <c r="P44" s="449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 x14ac:dyDescent="0.25">
      <c r="A45" s="60" t="s">
        <v>326</v>
      </c>
      <c r="B45" s="48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443">
        <v>1</v>
      </c>
      <c r="H45" s="444" t="s">
        <v>0</v>
      </c>
      <c r="I45" s="461">
        <v>0</v>
      </c>
      <c r="J45" s="85" t="s">
        <v>5</v>
      </c>
      <c r="K45" s="52"/>
      <c r="L45" s="495" t="str">
        <f>IF(OR(Copa2022!F53="",G45=""),"",
IF(AND(Copa2022!F53=G45,Copa2022!H53=I45),Regras!$J$25,IF(Y45=Regras!F67,Regras!$J$26,0)))</f>
        <v/>
      </c>
      <c r="M45" s="495"/>
      <c r="N45" s="316"/>
      <c r="O45" s="502" t="s">
        <v>59</v>
      </c>
      <c r="P45" s="503"/>
      <c r="Q45" s="324" t="str">
        <f>IF(Copa2022!F58="","",IF(Copa2022!O54=Rubiane!P46,Regras!$J$27,0))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 x14ac:dyDescent="0.2">
      <c r="A46" s="60" t="s">
        <v>327</v>
      </c>
      <c r="B46" s="485"/>
      <c r="C46" s="171">
        <v>44889</v>
      </c>
      <c r="D46" s="194" t="s">
        <v>134</v>
      </c>
      <c r="E46" s="177" t="s">
        <v>163</v>
      </c>
      <c r="F46" s="78" t="s">
        <v>9</v>
      </c>
      <c r="G46" s="441">
        <v>2</v>
      </c>
      <c r="H46" s="442" t="s">
        <v>0</v>
      </c>
      <c r="I46" s="459">
        <v>0</v>
      </c>
      <c r="J46" s="81" t="s">
        <v>152</v>
      </c>
      <c r="K46" s="52"/>
      <c r="L46" s="495" t="str">
        <f>IF(OR(Copa2022!F54="",G46=""),"",
IF(AND(Copa2022!F54=G46,Copa2022!H54=I46),Regras!$J$25,IF(Y46=Regras!F68,Regras!$J$26,0)))</f>
        <v/>
      </c>
      <c r="M46" s="495"/>
      <c r="N46" s="316"/>
      <c r="O46" s="450">
        <v>1</v>
      </c>
      <c r="P46" s="449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 x14ac:dyDescent="0.25">
      <c r="A47" s="60" t="s">
        <v>328</v>
      </c>
      <c r="B47" s="485"/>
      <c r="C47" s="171">
        <v>44893</v>
      </c>
      <c r="D47" s="194" t="s">
        <v>135</v>
      </c>
      <c r="E47" s="177" t="s">
        <v>148</v>
      </c>
      <c r="F47" s="78" t="s">
        <v>5</v>
      </c>
      <c r="G47" s="441">
        <v>1</v>
      </c>
      <c r="H47" s="442" t="s">
        <v>0</v>
      </c>
      <c r="I47" s="459">
        <v>1</v>
      </c>
      <c r="J47" s="81" t="s">
        <v>152</v>
      </c>
      <c r="K47" s="52"/>
      <c r="L47" s="495" t="str">
        <f>IF(OR(Copa2022!F55="",G47=""),"",
IF(AND(Copa2022!F55=G47,Copa2022!H55=I47),Regras!$J$25,IF(Y47=Regras!F69,Regras!$J$26,0)))</f>
        <v/>
      </c>
      <c r="M47" s="495"/>
      <c r="N47" s="316"/>
      <c r="O47" s="453">
        <v>2</v>
      </c>
      <c r="P47" s="454" t="s">
        <v>9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 x14ac:dyDescent="0.2">
      <c r="A48" s="60" t="s">
        <v>329</v>
      </c>
      <c r="B48" s="485"/>
      <c r="C48" s="171">
        <v>44893</v>
      </c>
      <c r="D48" s="194" t="s">
        <v>136</v>
      </c>
      <c r="E48" s="177" t="s">
        <v>146</v>
      </c>
      <c r="F48" s="78" t="s">
        <v>9</v>
      </c>
      <c r="G48" s="441">
        <v>1</v>
      </c>
      <c r="H48" s="442" t="s">
        <v>0</v>
      </c>
      <c r="I48" s="459">
        <v>2</v>
      </c>
      <c r="J48" s="81" t="s">
        <v>2</v>
      </c>
      <c r="K48" s="52"/>
      <c r="L48" s="495" t="str">
        <f>IF(OR(Copa2022!F56="",G48=""),"",
IF(AND(Copa2022!F56=G48,Copa2022!H56=I48),Regras!$J$25,IF(Y48=Regras!F70,Regras!$J$26,0)))</f>
        <v/>
      </c>
      <c r="M48" s="495"/>
      <c r="N48" s="316"/>
      <c r="O48" s="450">
        <v>3</v>
      </c>
      <c r="P48" s="449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 x14ac:dyDescent="0.25">
      <c r="A49" s="60" t="s">
        <v>330</v>
      </c>
      <c r="B49" s="485"/>
      <c r="C49" s="171">
        <v>44897</v>
      </c>
      <c r="D49" s="194" t="s">
        <v>132</v>
      </c>
      <c r="E49" s="177" t="s">
        <v>148</v>
      </c>
      <c r="F49" s="78" t="s">
        <v>5</v>
      </c>
      <c r="G49" s="441">
        <v>1</v>
      </c>
      <c r="H49" s="442" t="s">
        <v>0</v>
      </c>
      <c r="I49" s="459">
        <v>2</v>
      </c>
      <c r="J49" s="81" t="s">
        <v>9</v>
      </c>
      <c r="K49" s="52"/>
      <c r="L49" s="495" t="str">
        <f>IF(OR(Copa2022!F57="",G49=""),"",
IF(AND(Copa2022!F57=G49,Copa2022!H57=I49),Regras!$J$25,IF(Y49=Regras!F71,Regras!$J$26,0)))</f>
        <v/>
      </c>
      <c r="M49" s="495"/>
      <c r="N49" s="316"/>
      <c r="O49" s="451">
        <v>4</v>
      </c>
      <c r="P49" s="452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 x14ac:dyDescent="0.25">
      <c r="A50" s="477" t="s">
        <v>331</v>
      </c>
      <c r="B50" s="486"/>
      <c r="C50" s="173">
        <v>44897</v>
      </c>
      <c r="D50" s="195" t="s">
        <v>132</v>
      </c>
      <c r="E50" s="178" t="s">
        <v>164</v>
      </c>
      <c r="F50" s="19" t="s">
        <v>152</v>
      </c>
      <c r="G50" s="463">
        <v>0</v>
      </c>
      <c r="H50" s="464" t="s">
        <v>0</v>
      </c>
      <c r="I50" s="465">
        <v>2</v>
      </c>
      <c r="J50" s="130" t="s">
        <v>2</v>
      </c>
      <c r="K50" s="52"/>
      <c r="L50" s="495" t="str">
        <f>IF(OR(Copa2022!F58="",G50=""),"",
IF(AND(Copa2022!F58=G50,Copa2022!H58=I50),Regras!$J$25,IF(Y50=Regras!F72,Regras!$J$26,0)))</f>
        <v/>
      </c>
      <c r="M50" s="495"/>
      <c r="N50" s="316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thickBot="1" x14ac:dyDescent="0.25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customHeight="1" thickBot="1" x14ac:dyDescent="0.25">
      <c r="B52" s="44"/>
      <c r="C52" s="506" t="s">
        <v>124</v>
      </c>
      <c r="D52" s="507"/>
      <c r="E52" s="507"/>
      <c r="F52" s="507"/>
      <c r="G52" s="507"/>
      <c r="H52" s="507"/>
      <c r="I52" s="507"/>
      <c r="J52" s="507"/>
      <c r="K52" s="507"/>
      <c r="L52" s="507"/>
      <c r="M52" s="508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customHeight="1" thickBot="1" x14ac:dyDescent="0.25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4" t="s">
        <v>78</v>
      </c>
      <c r="M53" s="505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customHeight="1" thickBot="1" x14ac:dyDescent="0.25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6"/>
    </row>
    <row r="55" spans="1:25" s="60" customFormat="1" ht="34.5" customHeight="1" thickBot="1" x14ac:dyDescent="0.25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6"/>
    </row>
    <row r="56" spans="1:25" s="60" customFormat="1" ht="34.5" customHeight="1" thickBot="1" x14ac:dyDescent="0.25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6"/>
    </row>
    <row r="57" spans="1:25" s="60" customFormat="1" ht="34.5" customHeight="1" thickBot="1" x14ac:dyDescent="0.25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6"/>
    </row>
    <row r="58" spans="1:25" s="61" customFormat="1" ht="34.5" customHeight="1" thickBot="1" x14ac:dyDescent="0.25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6"/>
    </row>
    <row r="59" spans="1:25" s="60" customFormat="1" ht="34.5" customHeight="1" thickBot="1" x14ac:dyDescent="0.25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6"/>
    </row>
    <row r="60" spans="1:25" s="60" customFormat="1" ht="34.5" customHeight="1" thickBot="1" x14ac:dyDescent="0.25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6"/>
    </row>
    <row r="61" spans="1:25" s="60" customFormat="1" ht="34.5" customHeight="1" thickBot="1" x14ac:dyDescent="0.25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6"/>
    </row>
    <row r="62" spans="1:25" s="61" customFormat="1" ht="20.100000000000001" customHeight="1" thickBot="1" x14ac:dyDescent="0.25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23" t="s">
        <v>78</v>
      </c>
      <c r="M62" s="524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6"/>
    </row>
    <row r="63" spans="1:25" s="60" customFormat="1" ht="33.950000000000003" customHeight="1" thickBot="1" x14ac:dyDescent="0.25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6"/>
    </row>
    <row r="64" spans="1:25" s="61" customFormat="1" ht="33.950000000000003" customHeight="1" thickBot="1" x14ac:dyDescent="0.25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6"/>
    </row>
    <row r="65" spans="1:25" s="61" customFormat="1" ht="33.950000000000003" customHeight="1" thickBot="1" x14ac:dyDescent="0.25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6"/>
    </row>
    <row r="66" spans="1:25" s="60" customFormat="1" ht="33.950000000000003" customHeight="1" thickBot="1" x14ac:dyDescent="0.25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6"/>
    </row>
    <row r="67" spans="1:25" s="60" customFormat="1" ht="20.100000000000001" customHeight="1" thickBot="1" x14ac:dyDescent="0.25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20" t="s">
        <v>78</v>
      </c>
      <c r="M67" s="522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6"/>
    </row>
    <row r="68" spans="1:25" s="60" customFormat="1" ht="34.5" customHeight="1" thickBot="1" x14ac:dyDescent="0.25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6"/>
    </row>
    <row r="69" spans="1:25" s="60" customFormat="1" ht="34.5" customHeight="1" thickBot="1" x14ac:dyDescent="0.25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6"/>
    </row>
    <row r="70" spans="1:25" s="60" customFormat="1" ht="20.100000000000001" customHeight="1" thickBot="1" x14ac:dyDescent="0.25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20" t="s">
        <v>78</v>
      </c>
      <c r="M70" s="522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6"/>
    </row>
    <row r="71" spans="1:25" s="60" customFormat="1" ht="34.5" customHeight="1" thickBot="1" x14ac:dyDescent="0.25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6"/>
    </row>
    <row r="72" spans="1:25" s="60" customFormat="1" ht="20.100000000000001" customHeight="1" thickBot="1" x14ac:dyDescent="0.25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20" t="s">
        <v>78</v>
      </c>
      <c r="M72" s="521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6"/>
    </row>
    <row r="73" spans="1:25" s="62" customFormat="1" ht="34.5" customHeight="1" thickBot="1" x14ac:dyDescent="0.25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 x14ac:dyDescent="0.2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 x14ac:dyDescent="0.25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 x14ac:dyDescent="0.25">
      <c r="C76" s="2"/>
      <c r="D76" s="2"/>
      <c r="E76" s="125" t="s">
        <v>83</v>
      </c>
      <c r="F76" s="511">
        <f>'2ª Fase'!E40:I40</f>
        <v>0</v>
      </c>
      <c r="G76" s="511"/>
      <c r="H76" s="511"/>
      <c r="I76" s="511"/>
      <c r="J76" s="512"/>
      <c r="K76" s="50"/>
      <c r="L76" s="1"/>
      <c r="M76" s="1"/>
    </row>
    <row r="77" spans="1:25" ht="15" customHeight="1" x14ac:dyDescent="0.2">
      <c r="C77" s="2"/>
      <c r="D77" s="2"/>
      <c r="E77" s="126" t="s">
        <v>84</v>
      </c>
      <c r="F77" s="513">
        <f>'2ª Fase'!E41:I41</f>
        <v>0</v>
      </c>
      <c r="G77" s="513"/>
      <c r="H77" s="513"/>
      <c r="I77" s="513"/>
      <c r="J77" s="514"/>
      <c r="K77" s="50"/>
      <c r="L77" s="1"/>
      <c r="M77" s="1"/>
    </row>
    <row r="78" spans="1:25" ht="15" customHeight="1" x14ac:dyDescent="0.2">
      <c r="C78" s="2"/>
      <c r="D78" s="2"/>
      <c r="E78" s="127" t="s">
        <v>102</v>
      </c>
      <c r="F78" s="515">
        <f>'2ª Fase'!E42:I42</f>
        <v>0</v>
      </c>
      <c r="G78" s="515"/>
      <c r="H78" s="515"/>
      <c r="I78" s="515"/>
      <c r="J78" s="516"/>
      <c r="K78" s="50"/>
      <c r="L78" s="1"/>
      <c r="M78" s="1"/>
    </row>
    <row r="79" spans="1:25" ht="15" customHeight="1" thickBot="1" x14ac:dyDescent="0.25">
      <c r="C79" s="2"/>
      <c r="D79" s="2"/>
      <c r="E79" s="128" t="s">
        <v>103</v>
      </c>
      <c r="F79" s="517">
        <f>'2ª Fase'!E43:I43</f>
        <v>0</v>
      </c>
      <c r="G79" s="517"/>
      <c r="H79" s="517"/>
      <c r="I79" s="517"/>
      <c r="J79" s="518"/>
      <c r="K79" s="50"/>
      <c r="L79" s="1"/>
      <c r="M79" s="1"/>
    </row>
    <row r="80" spans="1:25" ht="15" hidden="1" customHeight="1" x14ac:dyDescent="0.2">
      <c r="C80" s="2"/>
      <c r="D80" s="2"/>
      <c r="E80" s="192"/>
      <c r="F80" s="509"/>
      <c r="G80" s="509"/>
      <c r="H80" s="509"/>
      <c r="I80" s="509"/>
      <c r="J80" s="510"/>
      <c r="K80" s="50"/>
      <c r="L80" s="129"/>
      <c r="M80" s="1"/>
    </row>
    <row r="81" spans="3:13" ht="15.75" x14ac:dyDescent="0.2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 x14ac:dyDescent="0.2"/>
    <row r="90" spans="3:13" ht="15.75" customHeight="1" x14ac:dyDescent="0.2"/>
    <row r="91" spans="3:13" ht="15.75" customHeight="1" x14ac:dyDescent="0.2"/>
    <row r="92" spans="3:13" ht="15.75" customHeight="1" x14ac:dyDescent="0.2"/>
    <row r="93" spans="3:13" ht="15.75" customHeight="1" x14ac:dyDescent="0.2"/>
    <row r="94" spans="3:13" ht="15.75" customHeight="1" x14ac:dyDescent="0.2"/>
    <row r="95" spans="3:13" ht="15.75" customHeight="1" x14ac:dyDescent="0.2"/>
    <row r="96" spans="3:13" ht="15.75" customHeight="1" x14ac:dyDescent="0.2"/>
    <row r="117" spans="2:25" s="9" customFormat="1" ht="15.75" hidden="1" x14ac:dyDescent="0.2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L2:M2"/>
    <mergeCell ref="B1:B2"/>
    <mergeCell ref="C1:C2"/>
    <mergeCell ref="D1:D2"/>
    <mergeCell ref="E1:E2"/>
    <mergeCell ref="F1:J2"/>
    <mergeCell ref="B3:B8"/>
    <mergeCell ref="L3:M3"/>
    <mergeCell ref="O3:P3"/>
    <mergeCell ref="L4:M4"/>
    <mergeCell ref="L5:M5"/>
    <mergeCell ref="L6:M6"/>
    <mergeCell ref="L7:M7"/>
    <mergeCell ref="L8:M8"/>
    <mergeCell ref="B9:B14"/>
    <mergeCell ref="L9:M9"/>
    <mergeCell ref="O9:P9"/>
    <mergeCell ref="L10:M10"/>
    <mergeCell ref="L11:M11"/>
    <mergeCell ref="L12:M12"/>
    <mergeCell ref="L13:M13"/>
    <mergeCell ref="L14:M14"/>
    <mergeCell ref="B15:B20"/>
    <mergeCell ref="L15:M15"/>
    <mergeCell ref="O15:P15"/>
    <mergeCell ref="L16:M16"/>
    <mergeCell ref="L17:M17"/>
    <mergeCell ref="L18:M18"/>
    <mergeCell ref="L19:M19"/>
    <mergeCell ref="L20:M20"/>
    <mergeCell ref="B21:B26"/>
    <mergeCell ref="L21:M21"/>
    <mergeCell ref="O21:P21"/>
    <mergeCell ref="L22:M22"/>
    <mergeCell ref="L23:M23"/>
    <mergeCell ref="L24:M24"/>
    <mergeCell ref="L25:M25"/>
    <mergeCell ref="L26:M26"/>
    <mergeCell ref="B27:B32"/>
    <mergeCell ref="L27:M27"/>
    <mergeCell ref="O27:P27"/>
    <mergeCell ref="L28:M28"/>
    <mergeCell ref="L29:M29"/>
    <mergeCell ref="L30:M30"/>
    <mergeCell ref="L31:M31"/>
    <mergeCell ref="L32:M32"/>
    <mergeCell ref="B33:B38"/>
    <mergeCell ref="L33:M33"/>
    <mergeCell ref="O33:P33"/>
    <mergeCell ref="L34:M34"/>
    <mergeCell ref="L35:M35"/>
    <mergeCell ref="L36:M36"/>
    <mergeCell ref="L37:M37"/>
    <mergeCell ref="L38:M38"/>
    <mergeCell ref="B39:B44"/>
    <mergeCell ref="L39:M39"/>
    <mergeCell ref="O39:P39"/>
    <mergeCell ref="L40:M40"/>
    <mergeCell ref="L41:M41"/>
    <mergeCell ref="L42:M42"/>
    <mergeCell ref="L43:M43"/>
    <mergeCell ref="L44:M44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722" priority="51" stopIfTrue="1" operator="equal">
      <formula>#REF!</formula>
    </cfRule>
  </conditionalFormatting>
  <conditionalFormatting sqref="M54:N54">
    <cfRule type="expression" dxfId="721" priority="50">
      <formula>$H$14="penaltis"</formula>
    </cfRule>
  </conditionalFormatting>
  <conditionalFormatting sqref="L55:N55">
    <cfRule type="expression" dxfId="720" priority="49">
      <formula>$H$15="penaltis"</formula>
    </cfRule>
  </conditionalFormatting>
  <conditionalFormatting sqref="L56:N56">
    <cfRule type="expression" dxfId="719" priority="48">
      <formula>$H$16="penaltis"</formula>
    </cfRule>
  </conditionalFormatting>
  <conditionalFormatting sqref="L57:N57">
    <cfRule type="expression" dxfId="718" priority="47">
      <formula>$H$17="penaltis"</formula>
    </cfRule>
  </conditionalFormatting>
  <conditionalFormatting sqref="L58:N58">
    <cfRule type="expression" dxfId="717" priority="46">
      <formula>$H$18="penaltis"</formula>
    </cfRule>
  </conditionalFormatting>
  <conditionalFormatting sqref="L59:N59">
    <cfRule type="expression" dxfId="716" priority="45">
      <formula>$H$19="penaltis"</formula>
    </cfRule>
  </conditionalFormatting>
  <conditionalFormatting sqref="L60:N60">
    <cfRule type="expression" dxfId="715" priority="44">
      <formula>$H$20="penaltis"</formula>
    </cfRule>
  </conditionalFormatting>
  <conditionalFormatting sqref="L61:N61">
    <cfRule type="expression" dxfId="714" priority="43">
      <formula>$H$21="penaltis"</formula>
    </cfRule>
  </conditionalFormatting>
  <conditionalFormatting sqref="N63">
    <cfRule type="expression" dxfId="713" priority="42">
      <formula>$H$23="penaltis"</formula>
    </cfRule>
  </conditionalFormatting>
  <conditionalFormatting sqref="N64">
    <cfRule type="expression" dxfId="712" priority="41" stopIfTrue="1">
      <formula>$H$24="penaltis"</formula>
    </cfRule>
  </conditionalFormatting>
  <conditionalFormatting sqref="N65">
    <cfRule type="expression" dxfId="711" priority="40" stopIfTrue="1">
      <formula>$H$25="penaltis"</formula>
    </cfRule>
  </conditionalFormatting>
  <conditionalFormatting sqref="N66">
    <cfRule type="expression" dxfId="710" priority="39" stopIfTrue="1">
      <formula>$H$26="penaltis"</formula>
    </cfRule>
  </conditionalFormatting>
  <conditionalFormatting sqref="N68">
    <cfRule type="expression" dxfId="709" priority="38" stopIfTrue="1">
      <formula>$H$28="penaltis"</formula>
    </cfRule>
  </conditionalFormatting>
  <conditionalFormatting sqref="N69">
    <cfRule type="expression" dxfId="708" priority="37" stopIfTrue="1">
      <formula>$H$29="penaltis"</formula>
    </cfRule>
  </conditionalFormatting>
  <conditionalFormatting sqref="N71">
    <cfRule type="expression" dxfId="707" priority="36" stopIfTrue="1">
      <formula>$H$31="penaltis"</formula>
    </cfRule>
  </conditionalFormatting>
  <conditionalFormatting sqref="N73">
    <cfRule type="expression" dxfId="706" priority="35" stopIfTrue="1">
      <formula>$H$33="penaltis"</formula>
    </cfRule>
  </conditionalFormatting>
  <conditionalFormatting sqref="L54:M54">
    <cfRule type="expression" dxfId="705" priority="34" stopIfTrue="1">
      <formula>$K$54="penaltis"</formula>
    </cfRule>
  </conditionalFormatting>
  <conditionalFormatting sqref="L55:M55">
    <cfRule type="expression" dxfId="704" priority="33" stopIfTrue="1">
      <formula>$K$55="penaltis"</formula>
    </cfRule>
  </conditionalFormatting>
  <conditionalFormatting sqref="L56:M56">
    <cfRule type="expression" dxfId="703" priority="32" stopIfTrue="1">
      <formula>$K$56="penaltis"</formula>
    </cfRule>
  </conditionalFormatting>
  <conditionalFormatting sqref="L57:M57">
    <cfRule type="expression" dxfId="702" priority="31" stopIfTrue="1">
      <formula>$K$57="penaltis"</formula>
    </cfRule>
  </conditionalFormatting>
  <conditionalFormatting sqref="L58:M58">
    <cfRule type="expression" dxfId="701" priority="30" stopIfTrue="1">
      <formula>$K$58="penaltis"</formula>
    </cfRule>
  </conditionalFormatting>
  <conditionalFormatting sqref="L59:M59">
    <cfRule type="expression" dxfId="700" priority="29" stopIfTrue="1">
      <formula>$K$59="penaltis"</formula>
    </cfRule>
  </conditionalFormatting>
  <conditionalFormatting sqref="L60:M60">
    <cfRule type="expression" dxfId="699" priority="28" stopIfTrue="1">
      <formula>$K$60="penaltis"</formula>
    </cfRule>
  </conditionalFormatting>
  <conditionalFormatting sqref="L61:M61">
    <cfRule type="expression" dxfId="698" priority="27" stopIfTrue="1">
      <formula>$K$61="penaltis"</formula>
    </cfRule>
  </conditionalFormatting>
  <conditionalFormatting sqref="L63:M63">
    <cfRule type="expression" dxfId="697" priority="26">
      <formula>$K$63="penaltis"</formula>
    </cfRule>
  </conditionalFormatting>
  <conditionalFormatting sqref="L64:M64">
    <cfRule type="expression" dxfId="696" priority="25">
      <formula>$K$64="penaltis"</formula>
    </cfRule>
  </conditionalFormatting>
  <conditionalFormatting sqref="L65:M65">
    <cfRule type="expression" dxfId="695" priority="24">
      <formula>$K$65="penaltis"</formula>
    </cfRule>
  </conditionalFormatting>
  <conditionalFormatting sqref="L66:M66">
    <cfRule type="expression" dxfId="694" priority="23">
      <formula>$K$66="penaltis"</formula>
    </cfRule>
  </conditionalFormatting>
  <conditionalFormatting sqref="L68:M68">
    <cfRule type="expression" dxfId="693" priority="22">
      <formula>$K$68="penaltis"</formula>
    </cfRule>
  </conditionalFormatting>
  <conditionalFormatting sqref="L69:M69">
    <cfRule type="expression" dxfId="692" priority="21">
      <formula>$K$69="penaltis"</formula>
    </cfRule>
  </conditionalFormatting>
  <conditionalFormatting sqref="L71:M71">
    <cfRule type="expression" dxfId="691" priority="20">
      <formula>$K$71="penaltis"</formula>
    </cfRule>
  </conditionalFormatting>
  <conditionalFormatting sqref="L73:M73">
    <cfRule type="expression" dxfId="690" priority="19">
      <formula>$K$73="penaltis"</formula>
    </cfRule>
  </conditionalFormatting>
  <conditionalFormatting sqref="Q4:X5">
    <cfRule type="expression" dxfId="689" priority="18">
      <formula>$R$8=12</formula>
    </cfRule>
  </conditionalFormatting>
  <conditionalFormatting sqref="Q10:X11">
    <cfRule type="expression" dxfId="688" priority="17">
      <formula>$R$14=12</formula>
    </cfRule>
  </conditionalFormatting>
  <conditionalFormatting sqref="Q16:X17">
    <cfRule type="expression" dxfId="687" priority="16">
      <formula>$R$20=12</formula>
    </cfRule>
  </conditionalFormatting>
  <conditionalFormatting sqref="Q22:X23">
    <cfRule type="expression" dxfId="686" priority="15">
      <formula>$R$26=12</formula>
    </cfRule>
  </conditionalFormatting>
  <conditionalFormatting sqref="Q28:X29">
    <cfRule type="expression" dxfId="685" priority="14">
      <formula>$R$32=12</formula>
    </cfRule>
  </conditionalFormatting>
  <conditionalFormatting sqref="Q34:X35">
    <cfRule type="expression" dxfId="684" priority="13">
      <formula>$R$38=12</formula>
    </cfRule>
  </conditionalFormatting>
  <conditionalFormatting sqref="Q40:X41">
    <cfRule type="expression" dxfId="683" priority="12">
      <formula>$R$44=12</formula>
    </cfRule>
  </conditionalFormatting>
  <conditionalFormatting sqref="Q46:X47">
    <cfRule type="expression" dxfId="682" priority="11">
      <formula>$R$50=12</formula>
    </cfRule>
  </conditionalFormatting>
  <conditionalFormatting sqref="F62:J73 B45 B9 B15 B21 B27 B33 B3 F3:F50 J3:J50">
    <cfRule type="cellIs" dxfId="681" priority="52" stopIfTrue="1" operator="equal">
      <formula>#REF!</formula>
    </cfRule>
  </conditionalFormatting>
  <conditionalFormatting sqref="B39">
    <cfRule type="cellIs" dxfId="680" priority="10" stopIfTrue="1" operator="equal">
      <formula>#REF!</formula>
    </cfRule>
  </conditionalFormatting>
  <conditionalFormatting sqref="F54:J61">
    <cfRule type="cellIs" dxfId="679" priority="9" stopIfTrue="1" operator="equal">
      <formula>$Z$7</formula>
    </cfRule>
  </conditionalFormatting>
  <conditionalFormatting sqref="O4:P5">
    <cfRule type="expression" dxfId="678" priority="8">
      <formula>$R$16=12</formula>
    </cfRule>
  </conditionalFormatting>
  <conditionalFormatting sqref="O10:P11">
    <cfRule type="expression" dxfId="677" priority="7">
      <formula>$R$22=12</formula>
    </cfRule>
  </conditionalFormatting>
  <conditionalFormatting sqref="O16:P17">
    <cfRule type="expression" dxfId="676" priority="6">
      <formula>$R$28=12</formula>
    </cfRule>
  </conditionalFormatting>
  <conditionalFormatting sqref="O22:P23">
    <cfRule type="expression" dxfId="675" priority="5">
      <formula>$R$34=12</formula>
    </cfRule>
  </conditionalFormatting>
  <conditionalFormatting sqref="O28:P29">
    <cfRule type="expression" dxfId="674" priority="4">
      <formula>$R$40=12</formula>
    </cfRule>
  </conditionalFormatting>
  <conditionalFormatting sqref="O34:P35">
    <cfRule type="expression" dxfId="673" priority="3">
      <formula>$R$46=12</formula>
    </cfRule>
  </conditionalFormatting>
  <conditionalFormatting sqref="O40:P41">
    <cfRule type="expression" dxfId="672" priority="2">
      <formula>$R$52=12</formula>
    </cfRule>
  </conditionalFormatting>
  <conditionalFormatting sqref="O46:P47">
    <cfRule type="expression" dxfId="671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 xr:uid="{00000000-0002-0000-0700-000000000000}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HW117"/>
  <sheetViews>
    <sheetView topLeftCell="C17" workbookViewId="0">
      <selection activeCell="F3" sqref="F3:J50"/>
    </sheetView>
  </sheetViews>
  <sheetFormatPr defaultColWidth="0" defaultRowHeight="0" customHeight="1" zeroHeight="1" x14ac:dyDescent="0.2"/>
  <cols>
    <col min="1" max="1" width="6.3203125" customWidth="1"/>
    <col min="2" max="2" width="6.05078125" style="5" bestFit="1" customWidth="1"/>
    <col min="3" max="3" width="9.81640625" style="10" bestFit="1" customWidth="1"/>
    <col min="4" max="4" width="5.24609375" style="10" bestFit="1" customWidth="1"/>
    <col min="5" max="5" width="17.75390625" style="10" bestFit="1" customWidth="1"/>
    <col min="6" max="6" width="25.69140625" style="11" customWidth="1"/>
    <col min="7" max="7" width="2.6875" style="42" customWidth="1"/>
    <col min="8" max="8" width="2.6875" customWidth="1"/>
    <col min="9" max="9" width="2.6875" style="42" customWidth="1"/>
    <col min="10" max="10" width="25.69140625" style="12" customWidth="1"/>
    <col min="11" max="11" width="13.31640625" style="51" hidden="1" customWidth="1"/>
    <col min="12" max="13" width="3.2265625" customWidth="1"/>
    <col min="14" max="14" width="2.82421875" style="1" customWidth="1"/>
    <col min="15" max="15" width="2.015625" style="109" bestFit="1" customWidth="1"/>
    <col min="16" max="16" width="26.09765625" style="113" customWidth="1"/>
    <col min="17" max="17" width="4.70703125" style="322" customWidth="1"/>
    <col min="18" max="18" width="3.765625" style="322" customWidth="1"/>
    <col min="19" max="19" width="1.8828125" style="322" customWidth="1"/>
    <col min="20" max="20" width="2.28515625" style="322" customWidth="1"/>
    <col min="21" max="21" width="3.765625" style="322" customWidth="1"/>
    <col min="22" max="22" width="2.015625" style="322" customWidth="1"/>
    <col min="23" max="24" width="3.765625" style="322" hidden="1" customWidth="1"/>
    <col min="25" max="25" width="12.9140625" style="1" customWidth="1"/>
    <col min="26" max="36" width="9.14453125" hidden="1" customWidth="1"/>
    <col min="37" max="37" width="8.47265625" hidden="1" customWidth="1"/>
    <col min="38" max="38" width="8.7421875" hidden="1" customWidth="1"/>
    <col min="39" max="39" width="10.0859375" hidden="1" customWidth="1"/>
    <col min="40" max="230" width="9.14453125" hidden="1" customWidth="1"/>
    <col min="231" max="231" width="7.26171875" hidden="1" customWidth="1"/>
    <col min="232" max="16384" width="9.14453125" hidden="1"/>
  </cols>
  <sheetData>
    <row r="1" spans="1:25" s="58" customFormat="1" ht="15" customHeight="1" x14ac:dyDescent="0.2">
      <c r="B1" s="496" t="s">
        <v>94</v>
      </c>
      <c r="C1" s="498" t="s">
        <v>95</v>
      </c>
      <c r="D1" s="498" t="s">
        <v>74</v>
      </c>
      <c r="E1" s="500" t="s">
        <v>75</v>
      </c>
      <c r="F1" s="487" t="s">
        <v>96</v>
      </c>
      <c r="G1" s="488"/>
      <c r="H1" s="488"/>
      <c r="I1" s="488"/>
      <c r="J1" s="489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 x14ac:dyDescent="0.25">
      <c r="B2" s="497"/>
      <c r="C2" s="499"/>
      <c r="D2" s="499"/>
      <c r="E2" s="501"/>
      <c r="F2" s="490"/>
      <c r="G2" s="491"/>
      <c r="H2" s="491"/>
      <c r="I2" s="491"/>
      <c r="J2" s="492"/>
      <c r="K2" s="51"/>
      <c r="L2" s="493"/>
      <c r="M2" s="494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 x14ac:dyDescent="0.25">
      <c r="A3" s="60" t="s">
        <v>284</v>
      </c>
      <c r="B3" s="48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26">
        <v>2</v>
      </c>
      <c r="H3" s="327" t="s">
        <v>0</v>
      </c>
      <c r="I3" s="336">
        <v>2</v>
      </c>
      <c r="J3" s="77" t="s">
        <v>142</v>
      </c>
      <c r="K3" s="52"/>
      <c r="L3" s="495">
        <f>IF(OR(Copa2022!F11="",G3=""),"",
IF(AND(Copa2022!F11=Aurea!G3,Copa2022!H11=Aurea!I3),Regras!$J$25,IF(Y3=Regras!F25,Regras!$J$26,0)))</f>
        <v>0</v>
      </c>
      <c r="M3" s="495"/>
      <c r="N3" s="318"/>
      <c r="O3" s="502" t="s">
        <v>220</v>
      </c>
      <c r="P3" s="526"/>
      <c r="Q3" s="324" t="str">
        <f>IF(Copa2022!F16="","",IF(Copa2022!O12=Aurea!P4,Regras!$J$27,0))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empate</v>
      </c>
    </row>
    <row r="4" spans="1:25" s="60" customFormat="1" ht="35.1" customHeight="1" x14ac:dyDescent="0.2">
      <c r="A4" s="60" t="s">
        <v>285</v>
      </c>
      <c r="B4" s="485"/>
      <c r="C4" s="171">
        <v>44886</v>
      </c>
      <c r="D4" s="194" t="s">
        <v>134</v>
      </c>
      <c r="E4" s="172" t="s">
        <v>157</v>
      </c>
      <c r="F4" s="78" t="s">
        <v>131</v>
      </c>
      <c r="G4" s="328">
        <v>2</v>
      </c>
      <c r="H4" s="329" t="s">
        <v>0</v>
      </c>
      <c r="I4" s="337">
        <v>3</v>
      </c>
      <c r="J4" s="81" t="s">
        <v>140</v>
      </c>
      <c r="K4" s="52"/>
      <c r="L4" s="495">
        <f>IF(OR(Copa2022!F12="",G4=""),"",
IF(AND(Copa2022!F12=Aurea!G4,Copa2022!H12=Aurea!I4),Regras!$J$25,IF(Y4=Regras!F26,Regras!$J$26,0)))</f>
        <v>5</v>
      </c>
      <c r="M4" s="495"/>
      <c r="N4" s="318"/>
      <c r="O4" s="346">
        <v>1</v>
      </c>
      <c r="P4" s="345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 x14ac:dyDescent="0.25">
      <c r="A5" s="60" t="s">
        <v>286</v>
      </c>
      <c r="B5" s="485"/>
      <c r="C5" s="171">
        <v>44890</v>
      </c>
      <c r="D5" s="194" t="s">
        <v>135</v>
      </c>
      <c r="E5" s="172" t="s">
        <v>157</v>
      </c>
      <c r="F5" s="78" t="s">
        <v>141</v>
      </c>
      <c r="G5" s="328">
        <v>1</v>
      </c>
      <c r="H5" s="329" t="s">
        <v>0</v>
      </c>
      <c r="I5" s="337">
        <v>2</v>
      </c>
      <c r="J5" s="81" t="s">
        <v>131</v>
      </c>
      <c r="K5" s="52"/>
      <c r="L5" s="495" t="str">
        <f>IF(OR(Copa2022!F13="",G5=""),"",
IF(AND(Copa2022!F13=Aurea!G5,Copa2022!H13=Aurea!I5),Regras!$J$25,IF(Y5=Regras!F27,Regras!$J$26,0)))</f>
        <v/>
      </c>
      <c r="M5" s="495"/>
      <c r="N5" s="318"/>
      <c r="O5" s="349">
        <v>2</v>
      </c>
      <c r="P5" s="350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 x14ac:dyDescent="0.2">
      <c r="A6" s="60" t="s">
        <v>287</v>
      </c>
      <c r="B6" s="485"/>
      <c r="C6" s="171">
        <v>44890</v>
      </c>
      <c r="D6" s="194" t="s">
        <v>134</v>
      </c>
      <c r="E6" s="172" t="s">
        <v>143</v>
      </c>
      <c r="F6" s="78" t="s">
        <v>140</v>
      </c>
      <c r="G6" s="328">
        <v>2</v>
      </c>
      <c r="H6" s="329" t="s">
        <v>0</v>
      </c>
      <c r="I6" s="337">
        <v>1</v>
      </c>
      <c r="J6" s="81" t="s">
        <v>142</v>
      </c>
      <c r="K6" s="52"/>
      <c r="L6" s="495" t="str">
        <f>IF(OR(Copa2022!F14="",G6=""),"",
IF(AND(Copa2022!F14=Aurea!G6,Copa2022!H14=Aurea!I6),Regras!$J$25,IF(Y6=Regras!F28,Regras!$J$26,0)))</f>
        <v/>
      </c>
      <c r="M6" s="495"/>
      <c r="N6" s="318"/>
      <c r="O6" s="346">
        <v>3</v>
      </c>
      <c r="P6" s="345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 x14ac:dyDescent="0.25">
      <c r="A7" s="60" t="s">
        <v>288</v>
      </c>
      <c r="B7" s="485"/>
      <c r="C7" s="171">
        <v>44894</v>
      </c>
      <c r="D7" s="194" t="s">
        <v>132</v>
      </c>
      <c r="E7" s="172" t="s">
        <v>161</v>
      </c>
      <c r="F7" s="78" t="s">
        <v>140</v>
      </c>
      <c r="G7" s="328">
        <v>3</v>
      </c>
      <c r="H7" s="329" t="s">
        <v>0</v>
      </c>
      <c r="I7" s="337">
        <v>1</v>
      </c>
      <c r="J7" s="81" t="s">
        <v>141</v>
      </c>
      <c r="K7" s="52"/>
      <c r="L7" s="495" t="str">
        <f>IF(OR(Copa2022!F15="",G7=""),"",
IF(AND(Copa2022!F15=Aurea!G7,Copa2022!H15=Aurea!I7),Regras!$J$25,IF(Y7=Regras!F29,Regras!$J$26,0)))</f>
        <v/>
      </c>
      <c r="M7" s="495"/>
      <c r="N7" s="318"/>
      <c r="O7" s="347">
        <v>4</v>
      </c>
      <c r="P7" s="348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 x14ac:dyDescent="0.25">
      <c r="A8" s="60" t="s">
        <v>289</v>
      </c>
      <c r="B8" s="486"/>
      <c r="C8" s="173">
        <v>44590</v>
      </c>
      <c r="D8" s="195" t="s">
        <v>132</v>
      </c>
      <c r="E8" s="174" t="s">
        <v>143</v>
      </c>
      <c r="F8" s="86" t="s">
        <v>142</v>
      </c>
      <c r="G8" s="332">
        <v>2</v>
      </c>
      <c r="H8" s="333" t="s">
        <v>0</v>
      </c>
      <c r="I8" s="338">
        <v>2</v>
      </c>
      <c r="J8" s="89" t="s">
        <v>131</v>
      </c>
      <c r="K8" s="52"/>
      <c r="L8" s="495" t="str">
        <f>IF(OR(Copa2022!F16="",G8=""),"",
IF(AND(Copa2022!F16=Aurea!G8,Copa2022!H16=Aurea!I8),Regras!$J$25,IF(Y8=Regras!F30,Regras!$J$26,0)))</f>
        <v/>
      </c>
      <c r="M8" s="495"/>
      <c r="N8" s="318"/>
      <c r="O8" s="353"/>
      <c r="P8" s="354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 x14ac:dyDescent="0.25">
      <c r="A9" s="60" t="s">
        <v>290</v>
      </c>
      <c r="B9" s="48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30">
        <v>4</v>
      </c>
      <c r="H9" s="331" t="s">
        <v>0</v>
      </c>
      <c r="I9" s="339">
        <v>1</v>
      </c>
      <c r="J9" s="85" t="s">
        <v>123</v>
      </c>
      <c r="K9" s="52"/>
      <c r="L9" s="495">
        <f>IF(OR(Copa2022!F17="",G9=""),"",
IF(AND(Copa2022!F17=Aurea!G9,Copa2022!H17=Aurea!I9),Regras!$J$25,IF(Y9=Regras!F31,Regras!$J$26,0)))</f>
        <v>5</v>
      </c>
      <c r="M9" s="495"/>
      <c r="N9" s="318"/>
      <c r="O9" s="502" t="s">
        <v>48</v>
      </c>
      <c r="P9" s="503"/>
      <c r="Q9" s="324" t="str">
        <f>IF(Copa2022!F22="","",IF(Copa2022!O18=Aurea!P10,Regras!$J$27,0))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 x14ac:dyDescent="0.2">
      <c r="A10" s="60" t="s">
        <v>291</v>
      </c>
      <c r="B10" s="485"/>
      <c r="C10" s="171">
        <v>44886</v>
      </c>
      <c r="D10" s="194" t="s">
        <v>136</v>
      </c>
      <c r="E10" s="177" t="s">
        <v>162</v>
      </c>
      <c r="F10" s="78" t="s">
        <v>145</v>
      </c>
      <c r="G10" s="328">
        <v>3</v>
      </c>
      <c r="H10" s="329" t="s">
        <v>0</v>
      </c>
      <c r="I10" s="337">
        <v>1</v>
      </c>
      <c r="J10" s="81" t="s">
        <v>158</v>
      </c>
      <c r="K10" s="52"/>
      <c r="L10" s="495">
        <f>IF(OR(Copa2022!F18="",G10=""),"",
IF(AND(Copa2022!F18=Aurea!G10,Copa2022!H18=Aurea!I10),Regras!$J$25,IF(Y10=Regras!F32,Regras!$J$26,0)))</f>
        <v>0</v>
      </c>
      <c r="M10" s="495"/>
      <c r="N10" s="318"/>
      <c r="O10" s="346">
        <v>1</v>
      </c>
      <c r="P10" s="345" t="s">
        <v>145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Estados Unidos</v>
      </c>
    </row>
    <row r="11" spans="1:25" s="60" customFormat="1" ht="35.1" customHeight="1" thickBot="1" x14ac:dyDescent="0.25">
      <c r="A11" s="60" t="s">
        <v>292</v>
      </c>
      <c r="B11" s="485"/>
      <c r="C11" s="171">
        <v>44890</v>
      </c>
      <c r="D11" s="194" t="s">
        <v>133</v>
      </c>
      <c r="E11" s="177" t="s">
        <v>162</v>
      </c>
      <c r="F11" s="78" t="s">
        <v>158</v>
      </c>
      <c r="G11" s="328">
        <v>1</v>
      </c>
      <c r="H11" s="329" t="s">
        <v>0</v>
      </c>
      <c r="I11" s="337">
        <v>1</v>
      </c>
      <c r="J11" s="81" t="s">
        <v>123</v>
      </c>
      <c r="K11" s="52"/>
      <c r="L11" s="495" t="str">
        <f>IF(OR(Copa2022!F19="",G11=""),"",
IF(AND(Copa2022!F19=Aurea!G11,Copa2022!H19=Aurea!I11),Regras!$J$25,IF(Y11=Regras!F33,Regras!$J$26,0)))</f>
        <v/>
      </c>
      <c r="M11" s="495"/>
      <c r="N11" s="318"/>
      <c r="O11" s="349">
        <v>2</v>
      </c>
      <c r="P11" s="350" t="s">
        <v>6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 x14ac:dyDescent="0.2">
      <c r="A12" s="60" t="s">
        <v>293</v>
      </c>
      <c r="B12" s="485"/>
      <c r="C12" s="171">
        <v>44890</v>
      </c>
      <c r="D12" s="194" t="s">
        <v>136</v>
      </c>
      <c r="E12" s="177" t="s">
        <v>161</v>
      </c>
      <c r="F12" s="78" t="s">
        <v>6</v>
      </c>
      <c r="G12" s="328">
        <v>2</v>
      </c>
      <c r="H12" s="329" t="s">
        <v>0</v>
      </c>
      <c r="I12" s="337">
        <v>3</v>
      </c>
      <c r="J12" s="81" t="s">
        <v>145</v>
      </c>
      <c r="K12" s="52"/>
      <c r="L12" s="495" t="str">
        <f>IF(OR(Copa2022!F20="",G12=""),"",
IF(AND(Copa2022!F20=Aurea!G12,Copa2022!H20=Aurea!I12),Regras!$J$25,IF(Y12=Regras!F34,Regras!$J$26,0)))</f>
        <v/>
      </c>
      <c r="M12" s="495"/>
      <c r="N12" s="318"/>
      <c r="O12" s="346">
        <v>3</v>
      </c>
      <c r="P12" s="345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 x14ac:dyDescent="0.25">
      <c r="A13" s="60" t="s">
        <v>294</v>
      </c>
      <c r="B13" s="485"/>
      <c r="C13" s="171">
        <v>44894</v>
      </c>
      <c r="D13" s="194" t="s">
        <v>136</v>
      </c>
      <c r="E13" s="177" t="s">
        <v>162</v>
      </c>
      <c r="F13" s="78" t="s">
        <v>158</v>
      </c>
      <c r="G13" s="328">
        <v>1</v>
      </c>
      <c r="H13" s="329" t="s">
        <v>0</v>
      </c>
      <c r="I13" s="337">
        <v>2</v>
      </c>
      <c r="J13" s="81" t="s">
        <v>6</v>
      </c>
      <c r="K13" s="52"/>
      <c r="L13" s="495" t="str">
        <f>IF(OR(Copa2022!F21="",G13=""),"",
IF(AND(Copa2022!F21=Aurea!G13,Copa2022!H21=Aurea!I13),Regras!$J$25,IF(Y13=Regras!F35,Regras!$J$26,0)))</f>
        <v/>
      </c>
      <c r="M13" s="495"/>
      <c r="N13" s="318"/>
      <c r="O13" s="347">
        <v>4</v>
      </c>
      <c r="P13" s="348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 x14ac:dyDescent="0.25">
      <c r="A14" s="60" t="s">
        <v>295</v>
      </c>
      <c r="B14" s="486"/>
      <c r="C14" s="173">
        <v>44894</v>
      </c>
      <c r="D14" s="195" t="s">
        <v>136</v>
      </c>
      <c r="E14" s="178" t="s">
        <v>157</v>
      </c>
      <c r="F14" s="90" t="s">
        <v>123</v>
      </c>
      <c r="G14" s="334">
        <v>1</v>
      </c>
      <c r="H14" s="335" t="s">
        <v>0</v>
      </c>
      <c r="I14" s="340">
        <v>3</v>
      </c>
      <c r="J14" s="93" t="s">
        <v>145</v>
      </c>
      <c r="K14" s="52"/>
      <c r="L14" s="495" t="str">
        <f>IF(OR(Copa2022!F22="",G14=""),"",
IF(AND(Copa2022!F22=Aurea!G14,Copa2022!H22=Aurea!I14),Regras!$J$25,IF(Y14=Regras!F36,Regras!$J$26,0)))</f>
        <v/>
      </c>
      <c r="M14" s="495"/>
      <c r="N14" s="318"/>
      <c r="O14" s="344"/>
      <c r="P14" s="345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 x14ac:dyDescent="0.25">
      <c r="A15" s="60" t="s">
        <v>296</v>
      </c>
      <c r="B15" s="48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26">
        <v>3</v>
      </c>
      <c r="H15" s="327" t="s">
        <v>0</v>
      </c>
      <c r="I15" s="336">
        <v>0</v>
      </c>
      <c r="J15" s="77" t="s">
        <v>125</v>
      </c>
      <c r="K15" s="52"/>
      <c r="L15" s="495">
        <f>IF(OR(Copa2022!F23="",G15=""),"",
IF(AND(Copa2022!F23=Aurea!G15,Copa2022!H23=Aurea!I15),Regras!$J$25,IF(Y15=Regras!F37,Regras!$J$26,0)))</f>
        <v>0</v>
      </c>
      <c r="M15" s="495"/>
      <c r="N15" s="318"/>
      <c r="O15" s="502" t="s">
        <v>50</v>
      </c>
      <c r="P15" s="503"/>
      <c r="Q15" s="324" t="str">
        <f>IF(Copa2022!F28="","",IF(Copa2022!O24=Aurea!P16,Regras!$J$27,0))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 x14ac:dyDescent="0.2">
      <c r="A16" s="60" t="s">
        <v>297</v>
      </c>
      <c r="B16" s="485"/>
      <c r="C16" s="171">
        <v>44887</v>
      </c>
      <c r="D16" s="194" t="s">
        <v>134</v>
      </c>
      <c r="E16" s="172" t="s">
        <v>163</v>
      </c>
      <c r="F16" s="78" t="s">
        <v>1</v>
      </c>
      <c r="G16" s="328">
        <v>4</v>
      </c>
      <c r="H16" s="329" t="s">
        <v>0</v>
      </c>
      <c r="I16" s="337">
        <v>1</v>
      </c>
      <c r="J16" s="81" t="s">
        <v>130</v>
      </c>
      <c r="K16" s="52"/>
      <c r="L16" s="495">
        <f>IF(OR(Copa2022!F24="",G16=""),"",
IF(AND(Copa2022!F24=Aurea!G16,Copa2022!H24=Aurea!I16),Regras!$J$25,IF(Y16=Regras!F38,Regras!$J$26,0)))</f>
        <v>0</v>
      </c>
      <c r="M16" s="495"/>
      <c r="N16" s="318"/>
      <c r="O16" s="346">
        <v>1</v>
      </c>
      <c r="P16" s="345" t="s">
        <v>1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México</v>
      </c>
    </row>
    <row r="17" spans="1:25" s="60" customFormat="1" ht="35.1" customHeight="1" thickBot="1" x14ac:dyDescent="0.25">
      <c r="A17" s="60" t="s">
        <v>298</v>
      </c>
      <c r="B17" s="485"/>
      <c r="C17" s="171">
        <v>44891</v>
      </c>
      <c r="D17" s="194" t="s">
        <v>135</v>
      </c>
      <c r="E17" s="172" t="s">
        <v>148</v>
      </c>
      <c r="F17" s="78" t="s">
        <v>130</v>
      </c>
      <c r="G17" s="328">
        <v>1</v>
      </c>
      <c r="H17" s="329" t="s">
        <v>0</v>
      </c>
      <c r="I17" s="337">
        <v>0</v>
      </c>
      <c r="J17" s="81" t="s">
        <v>125</v>
      </c>
      <c r="K17" s="52"/>
      <c r="L17" s="495" t="str">
        <f>IF(OR(Copa2022!F25="",G17=""),"",
IF(AND(Copa2022!F25=Aurea!G17,Copa2022!H25=Aurea!I17),Regras!$J$25,IF(Y17=Regras!F39,Regras!$J$26,0)))</f>
        <v/>
      </c>
      <c r="M17" s="495"/>
      <c r="N17" s="318"/>
      <c r="O17" s="349" t="s">
        <v>105</v>
      </c>
      <c r="P17" s="350" t="s">
        <v>4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 x14ac:dyDescent="0.2">
      <c r="A18" s="60" t="s">
        <v>299</v>
      </c>
      <c r="B18" s="485"/>
      <c r="C18" s="171">
        <v>44891</v>
      </c>
      <c r="D18" s="194" t="s">
        <v>136</v>
      </c>
      <c r="E18" s="172" t="s">
        <v>146</v>
      </c>
      <c r="F18" s="78" t="s">
        <v>4</v>
      </c>
      <c r="G18" s="328">
        <v>3</v>
      </c>
      <c r="H18" s="329" t="s">
        <v>0</v>
      </c>
      <c r="I18" s="337">
        <v>3</v>
      </c>
      <c r="J18" s="81" t="s">
        <v>1</v>
      </c>
      <c r="K18" s="52"/>
      <c r="L18" s="495" t="str">
        <f>IF(OR(Copa2022!F26="",G18=""),"",
IF(AND(Copa2022!F26=Aurea!G18,Copa2022!H26=Aurea!I18),Regras!$J$25,IF(Y18=Regras!F40,Regras!$J$26,0)))</f>
        <v/>
      </c>
      <c r="M18" s="495"/>
      <c r="N18" s="318"/>
      <c r="O18" s="346">
        <v>3</v>
      </c>
      <c r="P18" s="345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 x14ac:dyDescent="0.25">
      <c r="A19" s="60" t="s">
        <v>300</v>
      </c>
      <c r="B19" s="485"/>
      <c r="C19" s="171">
        <v>44895</v>
      </c>
      <c r="D19" s="194" t="s">
        <v>136</v>
      </c>
      <c r="E19" s="172" t="s">
        <v>163</v>
      </c>
      <c r="F19" s="78" t="s">
        <v>130</v>
      </c>
      <c r="G19" s="328">
        <v>1</v>
      </c>
      <c r="H19" s="329" t="s">
        <v>0</v>
      </c>
      <c r="I19" s="337">
        <v>3</v>
      </c>
      <c r="J19" s="81" t="s">
        <v>4</v>
      </c>
      <c r="K19" s="52"/>
      <c r="L19" s="495" t="str">
        <f>IF(OR(Copa2022!F27="",G19=""),"",
IF(AND(Copa2022!F27=Aurea!G19,Copa2022!H27=Aurea!I19),Regras!$J$25,IF(Y19=Regras!F41,Regras!$J$26,0)))</f>
        <v/>
      </c>
      <c r="M19" s="495"/>
      <c r="N19" s="318"/>
      <c r="O19" s="347">
        <v>4</v>
      </c>
      <c r="P19" s="348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 x14ac:dyDescent="0.25">
      <c r="A20" s="60" t="s">
        <v>301</v>
      </c>
      <c r="B20" s="486"/>
      <c r="C20" s="173">
        <v>44895</v>
      </c>
      <c r="D20" s="195" t="s">
        <v>136</v>
      </c>
      <c r="E20" s="174" t="s">
        <v>146</v>
      </c>
      <c r="F20" s="86" t="s">
        <v>125</v>
      </c>
      <c r="G20" s="332">
        <v>0</v>
      </c>
      <c r="H20" s="333" t="s">
        <v>0</v>
      </c>
      <c r="I20" s="338">
        <v>2</v>
      </c>
      <c r="J20" s="89" t="s">
        <v>1</v>
      </c>
      <c r="K20" s="52"/>
      <c r="L20" s="495" t="str">
        <f>IF(OR(Copa2022!F28="",G20=""),"",
IF(AND(Copa2022!F28=Aurea!G20,Copa2022!H28=Aurea!I20),Regras!$J$25,IF(Y20=Regras!F42,Regras!$J$26,0)))</f>
        <v/>
      </c>
      <c r="M20" s="495"/>
      <c r="N20" s="318"/>
      <c r="O20" s="344"/>
      <c r="P20" s="345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 x14ac:dyDescent="0.25">
      <c r="A21" s="60" t="s">
        <v>302</v>
      </c>
      <c r="B21" s="48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30">
        <v>3</v>
      </c>
      <c r="H21" s="331" t="s">
        <v>0</v>
      </c>
      <c r="I21" s="339">
        <v>2</v>
      </c>
      <c r="J21" s="85" t="s">
        <v>129</v>
      </c>
      <c r="K21" s="52"/>
      <c r="L21" s="495">
        <f>IF(OR(Copa2022!F29="",G21=""),"",
IF(AND(Copa2022!F29=Aurea!G21,Copa2022!H29=Aurea!I21),Regras!$J$25,IF(Y21=Regras!F43,Regras!$J$26,0)))</f>
        <v>0</v>
      </c>
      <c r="M21" s="495"/>
      <c r="N21" s="318"/>
      <c r="O21" s="502" t="s">
        <v>51</v>
      </c>
      <c r="P21" s="503"/>
      <c r="Q21" s="324" t="str">
        <f>IF(Copa2022!F34="","",IF(Copa2022!O30=Aurea!P22,Regras!$J$27,0))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 x14ac:dyDescent="0.2">
      <c r="A22" s="60" t="s">
        <v>303</v>
      </c>
      <c r="B22" s="485"/>
      <c r="C22" s="171">
        <v>44887</v>
      </c>
      <c r="D22" s="194" t="s">
        <v>136</v>
      </c>
      <c r="E22" s="177" t="s">
        <v>164</v>
      </c>
      <c r="F22" s="78" t="s">
        <v>3</v>
      </c>
      <c r="G22" s="328">
        <v>2</v>
      </c>
      <c r="H22" s="329" t="s">
        <v>0</v>
      </c>
      <c r="I22" s="337">
        <v>1</v>
      </c>
      <c r="J22" s="81" t="s">
        <v>159</v>
      </c>
      <c r="K22" s="52"/>
      <c r="L22" s="495">
        <f>IF(OR(Copa2022!F30="",G22=""),"",
IF(AND(Copa2022!F30=Aurea!G22,Copa2022!H30=Aurea!I22),Regras!$J$25,IF(Y22=Regras!F44,Regras!$J$26,0)))</f>
        <v>5</v>
      </c>
      <c r="M22" s="495"/>
      <c r="N22" s="318"/>
      <c r="O22" s="346">
        <v>1</v>
      </c>
      <c r="P22" s="345" t="s">
        <v>127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 x14ac:dyDescent="0.25">
      <c r="A23" s="60" t="s">
        <v>304</v>
      </c>
      <c r="B23" s="485"/>
      <c r="C23" s="171">
        <v>44891</v>
      </c>
      <c r="D23" s="194" t="s">
        <v>133</v>
      </c>
      <c r="E23" s="177" t="s">
        <v>164</v>
      </c>
      <c r="F23" s="78" t="s">
        <v>129</v>
      </c>
      <c r="G23" s="328">
        <v>1</v>
      </c>
      <c r="H23" s="329" t="s">
        <v>0</v>
      </c>
      <c r="I23" s="337">
        <v>1</v>
      </c>
      <c r="J23" s="81" t="s">
        <v>159</v>
      </c>
      <c r="K23" s="52"/>
      <c r="L23" s="495" t="str">
        <f>IF(OR(Copa2022!F31="",G23=""),"",
IF(AND(Copa2022!F31=Aurea!G23,Copa2022!H31=Aurea!I23),Regras!$J$25,IF(Y23=Regras!F45,Regras!$J$26,0)))</f>
        <v/>
      </c>
      <c r="M23" s="495"/>
      <c r="N23" s="318"/>
      <c r="O23" s="349">
        <v>2</v>
      </c>
      <c r="P23" s="350" t="s">
        <v>3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 x14ac:dyDescent="0.2">
      <c r="A24" s="60" t="s">
        <v>305</v>
      </c>
      <c r="B24" s="485"/>
      <c r="C24" s="171">
        <v>44891</v>
      </c>
      <c r="D24" s="194" t="s">
        <v>134</v>
      </c>
      <c r="E24" s="177" t="s">
        <v>163</v>
      </c>
      <c r="F24" s="78" t="s">
        <v>3</v>
      </c>
      <c r="G24" s="328">
        <v>2</v>
      </c>
      <c r="H24" s="329" t="s">
        <v>0</v>
      </c>
      <c r="I24" s="337">
        <v>2</v>
      </c>
      <c r="J24" s="81" t="s">
        <v>127</v>
      </c>
      <c r="K24" s="52"/>
      <c r="L24" s="495" t="str">
        <f>IF(OR(Copa2022!F32="",G24=""),"",
IF(AND(Copa2022!F32=Aurea!G24,Copa2022!H32=Aurea!I24),Regras!$J$25,IF(Y24=Regras!F46,Regras!$J$26,0)))</f>
        <v/>
      </c>
      <c r="M24" s="495"/>
      <c r="N24" s="318"/>
      <c r="O24" s="346">
        <v>3</v>
      </c>
      <c r="P24" s="345" t="s">
        <v>129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 x14ac:dyDescent="0.25">
      <c r="A25" s="60" t="s">
        <v>306</v>
      </c>
      <c r="B25" s="485"/>
      <c r="C25" s="171">
        <v>44895</v>
      </c>
      <c r="D25" s="194" t="s">
        <v>132</v>
      </c>
      <c r="E25" s="177" t="s">
        <v>148</v>
      </c>
      <c r="F25" s="78" t="s">
        <v>129</v>
      </c>
      <c r="G25" s="328">
        <v>1</v>
      </c>
      <c r="H25" s="329" t="s">
        <v>0</v>
      </c>
      <c r="I25" s="337">
        <v>3</v>
      </c>
      <c r="J25" s="81" t="s">
        <v>3</v>
      </c>
      <c r="K25" s="52"/>
      <c r="L25" s="495" t="str">
        <f>IF(OR(Copa2022!F33="",G25=""),"",
IF(AND(Copa2022!F33=Aurea!G25,Copa2022!H33=Aurea!I25),Regras!$J$25,IF(Y25=Regras!F47,Regras!$J$26,0)))</f>
        <v/>
      </c>
      <c r="M25" s="495"/>
      <c r="N25" s="318"/>
      <c r="O25" s="347">
        <v>4</v>
      </c>
      <c r="P25" s="348" t="s">
        <v>159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 x14ac:dyDescent="0.25">
      <c r="A26" s="60" t="s">
        <v>307</v>
      </c>
      <c r="B26" s="486"/>
      <c r="C26" s="173">
        <v>44895</v>
      </c>
      <c r="D26" s="195" t="s">
        <v>132</v>
      </c>
      <c r="E26" s="178" t="s">
        <v>164</v>
      </c>
      <c r="F26" s="90" t="s">
        <v>159</v>
      </c>
      <c r="G26" s="334">
        <v>0</v>
      </c>
      <c r="H26" s="335" t="s">
        <v>0</v>
      </c>
      <c r="I26" s="340">
        <v>4</v>
      </c>
      <c r="J26" s="93" t="s">
        <v>127</v>
      </c>
      <c r="K26" s="52"/>
      <c r="L26" s="495" t="str">
        <f>IF(OR(Copa2022!F34="",G26=""),"",
IF(AND(Copa2022!F34=Aurea!G26,Copa2022!H34=Aurea!I26),Regras!$J$25,IF(Y26=Regras!F48,Regras!$J$26,0)))</f>
        <v/>
      </c>
      <c r="M26" s="495"/>
      <c r="N26" s="318"/>
      <c r="O26" s="344"/>
      <c r="P26" s="345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 x14ac:dyDescent="0.25">
      <c r="A27" s="60" t="s">
        <v>308</v>
      </c>
      <c r="B27" s="48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26">
        <v>3</v>
      </c>
      <c r="H27" s="327" t="s">
        <v>0</v>
      </c>
      <c r="I27" s="336">
        <v>1</v>
      </c>
      <c r="J27" s="77" t="s">
        <v>8</v>
      </c>
      <c r="K27" s="52"/>
      <c r="L27" s="495" t="str">
        <f>IF(OR(Copa2022!F35="",G27=""),"",
IF(AND(Copa2022!F35=Aurea!G27,Copa2022!H35=Aurea!I27),Regras!$J$25,IF(Y27=Regras!F49,Regras!$J$26,0)))</f>
        <v/>
      </c>
      <c r="M27" s="495"/>
      <c r="N27" s="318"/>
      <c r="O27" s="502" t="s">
        <v>53</v>
      </c>
      <c r="P27" s="503"/>
      <c r="Q27" s="324" t="str">
        <f>IF(Copa2022!F40="","",IF(Copa2022!O36=Aurea!P28,Regras!$J$27,0))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 x14ac:dyDescent="0.2">
      <c r="A28" s="60" t="s">
        <v>309</v>
      </c>
      <c r="B28" s="485"/>
      <c r="C28" s="171">
        <v>44888</v>
      </c>
      <c r="D28" s="194" t="s">
        <v>134</v>
      </c>
      <c r="E28" s="172" t="s">
        <v>157</v>
      </c>
      <c r="F28" s="78" t="s">
        <v>11</v>
      </c>
      <c r="G28" s="328">
        <v>3</v>
      </c>
      <c r="H28" s="329" t="s">
        <v>0</v>
      </c>
      <c r="I28" s="337">
        <v>2</v>
      </c>
      <c r="J28" s="81" t="s">
        <v>160</v>
      </c>
      <c r="K28" s="52"/>
      <c r="L28" s="495" t="str">
        <f>IF(OR(Copa2022!F36="",G28=""),"",
IF(AND(Copa2022!F36=Aurea!G28,Copa2022!H36=Aurea!I28),Regras!$J$25,IF(Y28=Regras!F50,Regras!$J$26,0)))</f>
        <v/>
      </c>
      <c r="M28" s="495"/>
      <c r="N28" s="318"/>
      <c r="O28" s="346">
        <v>1</v>
      </c>
      <c r="P28" s="345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 x14ac:dyDescent="0.25">
      <c r="A29" s="60" t="s">
        <v>310</v>
      </c>
      <c r="B29" s="485"/>
      <c r="C29" s="171">
        <v>44892</v>
      </c>
      <c r="D29" s="194" t="s">
        <v>133</v>
      </c>
      <c r="E29" s="172" t="s">
        <v>162</v>
      </c>
      <c r="F29" s="78" t="s">
        <v>8</v>
      </c>
      <c r="G29" s="328">
        <v>2</v>
      </c>
      <c r="H29" s="329" t="s">
        <v>0</v>
      </c>
      <c r="I29" s="337">
        <v>2</v>
      </c>
      <c r="J29" s="81" t="s">
        <v>160</v>
      </c>
      <c r="K29" s="52"/>
      <c r="L29" s="495" t="str">
        <f>IF(OR(Copa2022!F37="",G29=""),"",
IF(AND(Copa2022!F37=Aurea!G29,Copa2022!H37=Aurea!I29),Regras!$J$25,IF(Y29=Regras!F51,Regras!$J$26,0)))</f>
        <v/>
      </c>
      <c r="M29" s="495"/>
      <c r="N29" s="318"/>
      <c r="O29" s="349">
        <v>2</v>
      </c>
      <c r="P29" s="350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 x14ac:dyDescent="0.2">
      <c r="A30" s="60" t="s">
        <v>311</v>
      </c>
      <c r="B30" s="485"/>
      <c r="C30" s="171">
        <v>44892</v>
      </c>
      <c r="D30" s="194" t="s">
        <v>136</v>
      </c>
      <c r="E30" s="172" t="s">
        <v>161</v>
      </c>
      <c r="F30" s="78" t="s">
        <v>11</v>
      </c>
      <c r="G30" s="328">
        <v>3</v>
      </c>
      <c r="H30" s="329" t="s">
        <v>0</v>
      </c>
      <c r="I30" s="337">
        <v>4</v>
      </c>
      <c r="J30" s="81" t="s">
        <v>7</v>
      </c>
      <c r="K30" s="52"/>
      <c r="L30" s="495" t="str">
        <f>IF(OR(Copa2022!F38="",G30=""),"",
IF(AND(Copa2022!F38=Aurea!G30,Copa2022!H38=Aurea!I30),Regras!$J$25,IF(Y30=Regras!F52,Regras!$J$26,0)))</f>
        <v/>
      </c>
      <c r="M30" s="495"/>
      <c r="N30" s="318"/>
      <c r="O30" s="346">
        <v>3</v>
      </c>
      <c r="P30" s="345" t="s">
        <v>160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 x14ac:dyDescent="0.25">
      <c r="A31" s="60" t="s">
        <v>312</v>
      </c>
      <c r="B31" s="485"/>
      <c r="C31" s="171">
        <v>44896</v>
      </c>
      <c r="D31" s="194" t="s">
        <v>136</v>
      </c>
      <c r="E31" s="172" t="s">
        <v>143</v>
      </c>
      <c r="F31" s="78" t="s">
        <v>8</v>
      </c>
      <c r="G31" s="328">
        <v>1</v>
      </c>
      <c r="H31" s="329" t="s">
        <v>0</v>
      </c>
      <c r="I31" s="337">
        <v>3</v>
      </c>
      <c r="J31" s="81" t="s">
        <v>11</v>
      </c>
      <c r="K31" s="52"/>
      <c r="L31" s="495" t="str">
        <f>IF(OR(Copa2022!F39="",G31=""),"",
IF(AND(Copa2022!F39=Aurea!G31,Copa2022!H39=Aurea!I31),Regras!$J$25,IF(Y31=Regras!F53,Regras!$J$26,0)))</f>
        <v/>
      </c>
      <c r="M31" s="495"/>
      <c r="N31" s="318"/>
      <c r="O31" s="347">
        <v>4</v>
      </c>
      <c r="P31" s="348" t="s">
        <v>8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 x14ac:dyDescent="0.25">
      <c r="A32" s="60" t="s">
        <v>313</v>
      </c>
      <c r="B32" s="486"/>
      <c r="C32" s="173">
        <v>44896</v>
      </c>
      <c r="D32" s="195" t="s">
        <v>136</v>
      </c>
      <c r="E32" s="174" t="s">
        <v>161</v>
      </c>
      <c r="F32" s="86" t="s">
        <v>160</v>
      </c>
      <c r="G32" s="332">
        <v>0</v>
      </c>
      <c r="H32" s="333" t="s">
        <v>0</v>
      </c>
      <c r="I32" s="338">
        <v>2</v>
      </c>
      <c r="J32" s="89" t="s">
        <v>7</v>
      </c>
      <c r="K32" s="52"/>
      <c r="L32" s="495" t="str">
        <f>IF(OR(Copa2022!F40="",G32=""),"",
IF(AND(Copa2022!F40=Aurea!G32,Copa2022!H40=Aurea!I32),Regras!$J$25,IF(Y32=Regras!F54,Regras!$J$26,0)))</f>
        <v/>
      </c>
      <c r="M32" s="495"/>
      <c r="N32" s="318"/>
      <c r="O32" s="344"/>
      <c r="P32" s="345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 x14ac:dyDescent="0.25">
      <c r="A33" s="60" t="s">
        <v>314</v>
      </c>
      <c r="B33" s="48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30">
        <v>2</v>
      </c>
      <c r="H33" s="331" t="s">
        <v>0</v>
      </c>
      <c r="I33" s="339">
        <v>5</v>
      </c>
      <c r="J33" s="85" t="s">
        <v>70</v>
      </c>
      <c r="K33" s="52"/>
      <c r="L33" s="495" t="str">
        <f>IF(OR(Copa2022!F41="",G33=""),"",
IF(AND(Copa2022!F41=Aurea!G33,Copa2022!H41=Aurea!I33),Regras!$J$25,IF(Y33=Regras!F55,Regras!$J$26,0)))</f>
        <v/>
      </c>
      <c r="M33" s="495"/>
      <c r="N33" s="318"/>
      <c r="O33" s="502" t="s">
        <v>56</v>
      </c>
      <c r="P33" s="503"/>
      <c r="Q33" s="324" t="str">
        <f>IF(Copa2022!F46="","",IF(Copa2022!O42=Aurea!P34,Regras!$J$27,0))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/>
      </c>
    </row>
    <row r="34" spans="1:25" s="60" customFormat="1" ht="35.1" customHeight="1" x14ac:dyDescent="0.2">
      <c r="A34" s="60" t="s">
        <v>315</v>
      </c>
      <c r="B34" s="485"/>
      <c r="C34" s="171">
        <v>44888</v>
      </c>
      <c r="D34" s="194" t="s">
        <v>136</v>
      </c>
      <c r="E34" s="177" t="s">
        <v>162</v>
      </c>
      <c r="F34" s="78" t="s">
        <v>104</v>
      </c>
      <c r="G34" s="328">
        <v>3</v>
      </c>
      <c r="H34" s="329" t="s">
        <v>0</v>
      </c>
      <c r="I34" s="337">
        <v>1</v>
      </c>
      <c r="J34" s="81" t="s">
        <v>150</v>
      </c>
      <c r="K34" s="52"/>
      <c r="L34" s="495" t="str">
        <f>IF(OR(Copa2022!F42="",G34=""),"",
IF(AND(Copa2022!F42=Aurea!G34,Copa2022!H42=Aurea!I34),Regras!$J$25,IF(Y34=Regras!F56,Regras!$J$26,0)))</f>
        <v/>
      </c>
      <c r="M34" s="495"/>
      <c r="N34" s="318"/>
      <c r="O34" s="346">
        <v>1</v>
      </c>
      <c r="P34" s="345" t="s">
        <v>70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 x14ac:dyDescent="0.25">
      <c r="A35" s="60" t="s">
        <v>316</v>
      </c>
      <c r="B35" s="485"/>
      <c r="C35" s="171">
        <v>44892</v>
      </c>
      <c r="D35" s="194" t="s">
        <v>135</v>
      </c>
      <c r="E35" s="177" t="s">
        <v>157</v>
      </c>
      <c r="F35" s="78" t="s">
        <v>104</v>
      </c>
      <c r="G35" s="328">
        <v>2</v>
      </c>
      <c r="H35" s="329" t="s">
        <v>0</v>
      </c>
      <c r="I35" s="337">
        <v>0</v>
      </c>
      <c r="J35" s="81" t="s">
        <v>126</v>
      </c>
      <c r="K35" s="52"/>
      <c r="L35" s="495" t="str">
        <f>IF(OR(Copa2022!F43="",G35=""),"",
IF(AND(Copa2022!F43=Aurea!G35,Copa2022!H43=Aurea!I35),Regras!$J$25,IF(Y35=Regras!F57,Regras!$J$26,0)))</f>
        <v/>
      </c>
      <c r="M35" s="495"/>
      <c r="N35" s="318"/>
      <c r="O35" s="349">
        <v>2</v>
      </c>
      <c r="P35" s="350" t="s">
        <v>104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 x14ac:dyDescent="0.2">
      <c r="A36" s="60" t="s">
        <v>317</v>
      </c>
      <c r="B36" s="485"/>
      <c r="C36" s="171">
        <v>44892</v>
      </c>
      <c r="D36" s="194" t="s">
        <v>134</v>
      </c>
      <c r="E36" s="177" t="s">
        <v>143</v>
      </c>
      <c r="F36" s="78" t="s">
        <v>70</v>
      </c>
      <c r="G36" s="328">
        <v>3</v>
      </c>
      <c r="H36" s="329" t="s">
        <v>0</v>
      </c>
      <c r="I36" s="337">
        <v>2</v>
      </c>
      <c r="J36" s="81" t="s">
        <v>150</v>
      </c>
      <c r="K36" s="52"/>
      <c r="L36" s="495" t="str">
        <f>IF(OR(Copa2022!F44="",G36=""),"",
IF(AND(Copa2022!F44=Aurea!G36,Copa2022!H44=Aurea!I36),Regras!$J$25,IF(Y36=Regras!F58,Regras!$J$26,0)))</f>
        <v/>
      </c>
      <c r="M36" s="495"/>
      <c r="N36" s="318"/>
      <c r="O36" s="346">
        <v>3</v>
      </c>
      <c r="P36" s="345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 x14ac:dyDescent="0.25">
      <c r="A37" s="60" t="s">
        <v>318</v>
      </c>
      <c r="B37" s="485"/>
      <c r="C37" s="171">
        <v>44896</v>
      </c>
      <c r="D37" s="194" t="s">
        <v>132</v>
      </c>
      <c r="E37" s="177" t="s">
        <v>162</v>
      </c>
      <c r="F37" s="78" t="s">
        <v>70</v>
      </c>
      <c r="G37" s="328">
        <v>2</v>
      </c>
      <c r="H37" s="329" t="s">
        <v>0</v>
      </c>
      <c r="I37" s="337">
        <v>1</v>
      </c>
      <c r="J37" s="81" t="s">
        <v>104</v>
      </c>
      <c r="K37" s="52"/>
      <c r="L37" s="495" t="str">
        <f>IF(OR(Copa2022!F45="",G37=""),"",
IF(AND(Copa2022!F45=Aurea!G37,Copa2022!H45=Aurea!I37),Regras!$J$25,IF(Y37=Regras!F59,Regras!$J$26,0)))</f>
        <v/>
      </c>
      <c r="M37" s="495"/>
      <c r="N37" s="318"/>
      <c r="O37" s="347">
        <v>4</v>
      </c>
      <c r="P37" s="348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 x14ac:dyDescent="0.25">
      <c r="A38" s="60" t="s">
        <v>319</v>
      </c>
      <c r="B38" s="486"/>
      <c r="C38" s="173">
        <v>44896</v>
      </c>
      <c r="D38" s="195" t="s">
        <v>132</v>
      </c>
      <c r="E38" s="178" t="s">
        <v>157</v>
      </c>
      <c r="F38" s="90" t="s">
        <v>150</v>
      </c>
      <c r="G38" s="334">
        <v>2</v>
      </c>
      <c r="H38" s="335" t="s">
        <v>0</v>
      </c>
      <c r="I38" s="340">
        <v>2</v>
      </c>
      <c r="J38" s="93" t="s">
        <v>126</v>
      </c>
      <c r="K38" s="52"/>
      <c r="L38" s="495" t="str">
        <f>IF(OR(Copa2022!F46="",G38=""),"",
IF(AND(Copa2022!F46=Aurea!G38,Copa2022!H46=Aurea!I38),Regras!$J$25,IF(Y38=Regras!F60,Regras!$J$26,0)))</f>
        <v/>
      </c>
      <c r="M38" s="495"/>
      <c r="N38" s="318"/>
      <c r="O38" s="344"/>
      <c r="P38" s="345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 x14ac:dyDescent="0.25">
      <c r="A39" s="60" t="s">
        <v>320</v>
      </c>
      <c r="B39" s="48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26">
        <v>3</v>
      </c>
      <c r="H39" s="327" t="s">
        <v>0</v>
      </c>
      <c r="I39" s="336">
        <v>2</v>
      </c>
      <c r="J39" s="77" t="s">
        <v>151</v>
      </c>
      <c r="K39" s="52"/>
      <c r="L39" s="495" t="str">
        <f>IF(OR(Copa2022!F47="",G39=""),"",
IF(AND(Copa2022!F47=Aurea!G39,Copa2022!H47=Aurea!I39),Regras!$J$25,IF(Y39=Regras!F61,Regras!$J$26,0)))</f>
        <v/>
      </c>
      <c r="M39" s="495"/>
      <c r="N39" s="318"/>
      <c r="O39" s="502" t="s">
        <v>58</v>
      </c>
      <c r="P39" s="503"/>
      <c r="Q39" s="324" t="str">
        <f>IF(Copa2022!F52="","",IF(Copa2022!O48=Aurea!P40,Regras!$J$27,0))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 x14ac:dyDescent="0.2">
      <c r="A40" s="60" t="s">
        <v>321</v>
      </c>
      <c r="B40" s="485"/>
      <c r="C40" s="171">
        <v>44889</v>
      </c>
      <c r="D40" s="194" t="s">
        <v>136</v>
      </c>
      <c r="E40" s="172" t="s">
        <v>146</v>
      </c>
      <c r="F40" s="78" t="s">
        <v>10</v>
      </c>
      <c r="G40" s="328">
        <v>3</v>
      </c>
      <c r="H40" s="329" t="s">
        <v>0</v>
      </c>
      <c r="I40" s="337">
        <v>1</v>
      </c>
      <c r="J40" s="81" t="s">
        <v>128</v>
      </c>
      <c r="K40" s="52"/>
      <c r="L40" s="495" t="str">
        <f>IF(OR(Copa2022!F48="",G40=""),"",
IF(AND(Copa2022!F48=Aurea!G40,Copa2022!H48=Aurea!I40),Regras!$J$25,IF(Y40=Regras!F62,Regras!$J$26,0)))</f>
        <v/>
      </c>
      <c r="M40" s="495"/>
      <c r="N40" s="318"/>
      <c r="O40" s="351">
        <v>1</v>
      </c>
      <c r="P40" s="352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 x14ac:dyDescent="0.25">
      <c r="A41" s="60" t="s">
        <v>322</v>
      </c>
      <c r="B41" s="485"/>
      <c r="C41" s="171">
        <v>44893</v>
      </c>
      <c r="D41" s="194" t="s">
        <v>133</v>
      </c>
      <c r="E41" s="172" t="s">
        <v>164</v>
      </c>
      <c r="F41" s="78" t="s">
        <v>151</v>
      </c>
      <c r="G41" s="328">
        <v>2</v>
      </c>
      <c r="H41" s="329" t="s">
        <v>0</v>
      </c>
      <c r="I41" s="337">
        <v>1</v>
      </c>
      <c r="J41" s="81" t="s">
        <v>128</v>
      </c>
      <c r="K41" s="52"/>
      <c r="L41" s="495" t="str">
        <f>IF(OR(Copa2022!F49="",G41=""),"",
IF(AND(Copa2022!F49=Aurea!G41,Copa2022!H49=Aurea!I41),Regras!$J$25,IF(Y41=Regras!F63,Regras!$J$26,0)))</f>
        <v/>
      </c>
      <c r="M41" s="495"/>
      <c r="N41" s="318"/>
      <c r="O41" s="349">
        <v>2</v>
      </c>
      <c r="P41" s="350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 x14ac:dyDescent="0.2">
      <c r="A42" s="60" t="s">
        <v>323</v>
      </c>
      <c r="B42" s="485"/>
      <c r="C42" s="171">
        <v>44893</v>
      </c>
      <c r="D42" s="194" t="s">
        <v>134</v>
      </c>
      <c r="E42" s="172" t="s">
        <v>163</v>
      </c>
      <c r="F42" s="78" t="s">
        <v>10</v>
      </c>
      <c r="G42" s="328">
        <v>3</v>
      </c>
      <c r="H42" s="329" t="s">
        <v>0</v>
      </c>
      <c r="I42" s="337">
        <v>2</v>
      </c>
      <c r="J42" s="81" t="s">
        <v>12</v>
      </c>
      <c r="K42" s="52"/>
      <c r="L42" s="495" t="str">
        <f>IF(OR(Copa2022!F50="",G42=""),"",
IF(AND(Copa2022!F50=Aurea!G42,Copa2022!H50=Aurea!I42),Regras!$J$25,IF(Y42=Regras!F64,Regras!$J$26,0)))</f>
        <v/>
      </c>
      <c r="M42" s="495"/>
      <c r="N42" s="318"/>
      <c r="O42" s="346">
        <v>3</v>
      </c>
      <c r="P42" s="345" t="s">
        <v>151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 x14ac:dyDescent="0.25">
      <c r="A43" s="60" t="s">
        <v>324</v>
      </c>
      <c r="B43" s="485"/>
      <c r="C43" s="171">
        <v>44897</v>
      </c>
      <c r="D43" s="194" t="s">
        <v>136</v>
      </c>
      <c r="E43" s="172" t="s">
        <v>146</v>
      </c>
      <c r="F43" s="78" t="s">
        <v>151</v>
      </c>
      <c r="G43" s="328">
        <v>1</v>
      </c>
      <c r="H43" s="329" t="s">
        <v>0</v>
      </c>
      <c r="I43" s="337">
        <v>2</v>
      </c>
      <c r="J43" s="81" t="s">
        <v>10</v>
      </c>
      <c r="K43" s="52"/>
      <c r="L43" s="495" t="str">
        <f>IF(OR(Copa2022!F51="",G43=""),"",
IF(AND(Copa2022!F51=Aurea!G43,Copa2022!H51=Aurea!I43),Regras!$J$25,IF(Y43=Regras!F65,Regras!$J$26,0)))</f>
        <v/>
      </c>
      <c r="M43" s="495"/>
      <c r="N43" s="318"/>
      <c r="O43" s="347">
        <v>4</v>
      </c>
      <c r="P43" s="348" t="s">
        <v>128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 x14ac:dyDescent="0.25">
      <c r="A44" s="60" t="s">
        <v>325</v>
      </c>
      <c r="B44" s="486"/>
      <c r="C44" s="173">
        <v>44897</v>
      </c>
      <c r="D44" s="195" t="s">
        <v>136</v>
      </c>
      <c r="E44" s="174" t="s">
        <v>163</v>
      </c>
      <c r="F44" s="86" t="s">
        <v>128</v>
      </c>
      <c r="G44" s="332">
        <v>1</v>
      </c>
      <c r="H44" s="333" t="s">
        <v>0</v>
      </c>
      <c r="I44" s="338">
        <v>3</v>
      </c>
      <c r="J44" s="89" t="s">
        <v>12</v>
      </c>
      <c r="K44" s="52"/>
      <c r="L44" s="495" t="str">
        <f>IF(OR(Copa2022!F52="",G44=""),"",
IF(AND(Copa2022!F52=Aurea!G44,Copa2022!H52=Aurea!I44),Regras!$J$25,IF(Y44=Regras!F66,Regras!$J$26,0)))</f>
        <v/>
      </c>
      <c r="M44" s="495"/>
      <c r="N44" s="318"/>
      <c r="O44" s="344"/>
      <c r="P44" s="345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 x14ac:dyDescent="0.25">
      <c r="A45" s="60" t="s">
        <v>326</v>
      </c>
      <c r="B45" s="48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30">
        <v>3</v>
      </c>
      <c r="H45" s="331" t="s">
        <v>0</v>
      </c>
      <c r="I45" s="339">
        <v>0</v>
      </c>
      <c r="J45" s="85" t="s">
        <v>5</v>
      </c>
      <c r="K45" s="52"/>
      <c r="L45" s="495" t="str">
        <f>IF(OR(Copa2022!F53="",G45=""),"",
IF(AND(Copa2022!F53=Aurea!G45,Copa2022!H53=Aurea!I45),Regras!$J$25,IF(Y45=Regras!F67,Regras!$J$26,0)))</f>
        <v/>
      </c>
      <c r="M45" s="495"/>
      <c r="N45" s="318"/>
      <c r="O45" s="502" t="s">
        <v>59</v>
      </c>
      <c r="P45" s="503"/>
      <c r="Q45" s="324" t="str">
        <f>IF(Copa2022!F58="","",IF(Copa2022!O54=Aurea!P46,Regras!$J$27,0))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 x14ac:dyDescent="0.2">
      <c r="A46" s="60" t="s">
        <v>327</v>
      </c>
      <c r="B46" s="485"/>
      <c r="C46" s="171">
        <v>44889</v>
      </c>
      <c r="D46" s="194" t="s">
        <v>134</v>
      </c>
      <c r="E46" s="177" t="s">
        <v>163</v>
      </c>
      <c r="F46" s="78" t="s">
        <v>9</v>
      </c>
      <c r="G46" s="328">
        <v>3</v>
      </c>
      <c r="H46" s="329" t="s">
        <v>0</v>
      </c>
      <c r="I46" s="337">
        <v>2</v>
      </c>
      <c r="J46" s="81" t="s">
        <v>152</v>
      </c>
      <c r="K46" s="52"/>
      <c r="L46" s="495" t="str">
        <f>IF(OR(Copa2022!F54="",G46=""),"",
IF(AND(Copa2022!F54=Aurea!G46,Copa2022!H54=Aurea!I46),Regras!$J$25,IF(Y46=Regras!F68,Regras!$J$26,0)))</f>
        <v/>
      </c>
      <c r="M46" s="495"/>
      <c r="N46" s="318"/>
      <c r="O46" s="346">
        <v>1</v>
      </c>
      <c r="P46" s="345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 x14ac:dyDescent="0.25">
      <c r="A47" s="60" t="s">
        <v>328</v>
      </c>
      <c r="B47" s="485"/>
      <c r="C47" s="171">
        <v>44893</v>
      </c>
      <c r="D47" s="194" t="s">
        <v>135</v>
      </c>
      <c r="E47" s="177" t="s">
        <v>148</v>
      </c>
      <c r="F47" s="78" t="s">
        <v>5</v>
      </c>
      <c r="G47" s="328">
        <v>1</v>
      </c>
      <c r="H47" s="329" t="s">
        <v>0</v>
      </c>
      <c r="I47" s="337">
        <v>3</v>
      </c>
      <c r="J47" s="81" t="s">
        <v>152</v>
      </c>
      <c r="K47" s="52"/>
      <c r="L47" s="495" t="str">
        <f>IF(OR(Copa2022!F55="",G47=""),"",
IF(AND(Copa2022!F55=Aurea!G47,Copa2022!H55=Aurea!I47),Regras!$J$25,IF(Y47=Regras!F69,Regras!$J$26,0)))</f>
        <v/>
      </c>
      <c r="M47" s="495"/>
      <c r="N47" s="318"/>
      <c r="O47" s="349">
        <v>2</v>
      </c>
      <c r="P47" s="350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 x14ac:dyDescent="0.2">
      <c r="A48" s="60" t="s">
        <v>329</v>
      </c>
      <c r="B48" s="485"/>
      <c r="C48" s="171">
        <v>44893</v>
      </c>
      <c r="D48" s="194" t="s">
        <v>136</v>
      </c>
      <c r="E48" s="177" t="s">
        <v>146</v>
      </c>
      <c r="F48" s="78" t="s">
        <v>9</v>
      </c>
      <c r="G48" s="328">
        <v>3</v>
      </c>
      <c r="H48" s="329" t="s">
        <v>0</v>
      </c>
      <c r="I48" s="337">
        <v>2</v>
      </c>
      <c r="J48" s="81" t="s">
        <v>2</v>
      </c>
      <c r="K48" s="52"/>
      <c r="L48" s="495" t="str">
        <f>IF(OR(Copa2022!F56="",G48=""),"",
IF(AND(Copa2022!F56=Aurea!G48,Copa2022!H56=Aurea!I48),Regras!$J$25,IF(Y48=Regras!F70,Regras!$J$26,0)))</f>
        <v/>
      </c>
      <c r="M48" s="495"/>
      <c r="N48" s="318"/>
      <c r="O48" s="346">
        <v>3</v>
      </c>
      <c r="P48" s="345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 x14ac:dyDescent="0.25">
      <c r="A49" s="60" t="s">
        <v>330</v>
      </c>
      <c r="B49" s="485"/>
      <c r="C49" s="171">
        <v>44897</v>
      </c>
      <c r="D49" s="194" t="s">
        <v>132</v>
      </c>
      <c r="E49" s="177" t="s">
        <v>148</v>
      </c>
      <c r="F49" s="78" t="s">
        <v>5</v>
      </c>
      <c r="G49" s="328">
        <v>1</v>
      </c>
      <c r="H49" s="329" t="s">
        <v>0</v>
      </c>
      <c r="I49" s="337">
        <v>3</v>
      </c>
      <c r="J49" s="81" t="s">
        <v>9</v>
      </c>
      <c r="K49" s="52"/>
      <c r="L49" s="495" t="str">
        <f>IF(OR(Copa2022!F57="",G49=""),"",
IF(AND(Copa2022!F57=Aurea!G49,Copa2022!H57=Aurea!I49),Regras!$J$25,IF(Y49=Regras!F71,Regras!$J$26,0)))</f>
        <v/>
      </c>
      <c r="M49" s="495"/>
      <c r="N49" s="318"/>
      <c r="O49" s="347">
        <v>4</v>
      </c>
      <c r="P49" s="348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 x14ac:dyDescent="0.25">
      <c r="A50" s="477" t="s">
        <v>331</v>
      </c>
      <c r="B50" s="486"/>
      <c r="C50" s="173">
        <v>44897</v>
      </c>
      <c r="D50" s="195" t="s">
        <v>132</v>
      </c>
      <c r="E50" s="178" t="s">
        <v>164</v>
      </c>
      <c r="F50" s="19" t="s">
        <v>152</v>
      </c>
      <c r="G50" s="341">
        <v>2</v>
      </c>
      <c r="H50" s="342" t="s">
        <v>0</v>
      </c>
      <c r="I50" s="343">
        <v>3</v>
      </c>
      <c r="J50" s="130" t="s">
        <v>2</v>
      </c>
      <c r="K50" s="52"/>
      <c r="L50" s="495" t="str">
        <f>IF(OR(Copa2022!F58="",G50=""),"",
IF(AND(Copa2022!F58=Aurea!G50,Copa2022!H58=Aurea!I50),Regras!$J$25,IF(Y50=Regras!F72,Regras!$J$26,0)))</f>
        <v/>
      </c>
      <c r="M50" s="495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x14ac:dyDescent="0.2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 x14ac:dyDescent="0.25">
      <c r="B52" s="44"/>
      <c r="C52" s="506" t="s">
        <v>124</v>
      </c>
      <c r="D52" s="507"/>
      <c r="E52" s="507"/>
      <c r="F52" s="507"/>
      <c r="G52" s="507"/>
      <c r="H52" s="507"/>
      <c r="I52" s="507"/>
      <c r="J52" s="507"/>
      <c r="K52" s="507"/>
      <c r="L52" s="507"/>
      <c r="M52" s="508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 x14ac:dyDescent="0.25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4" t="s">
        <v>78</v>
      </c>
      <c r="M53" s="505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 x14ac:dyDescent="0.25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 x14ac:dyDescent="0.25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 x14ac:dyDescent="0.25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 x14ac:dyDescent="0.25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 x14ac:dyDescent="0.25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 x14ac:dyDescent="0.25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 x14ac:dyDescent="0.25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 x14ac:dyDescent="0.25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 x14ac:dyDescent="0.25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23" t="s">
        <v>78</v>
      </c>
      <c r="M62" s="524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 x14ac:dyDescent="0.25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 x14ac:dyDescent="0.25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 x14ac:dyDescent="0.25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 x14ac:dyDescent="0.25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 x14ac:dyDescent="0.25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20" t="s">
        <v>78</v>
      </c>
      <c r="M67" s="522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 x14ac:dyDescent="0.25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 x14ac:dyDescent="0.25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 x14ac:dyDescent="0.25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20" t="s">
        <v>78</v>
      </c>
      <c r="M70" s="522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 x14ac:dyDescent="0.25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 x14ac:dyDescent="0.25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20" t="s">
        <v>78</v>
      </c>
      <c r="M72" s="521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 x14ac:dyDescent="0.25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 x14ac:dyDescent="0.2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 x14ac:dyDescent="0.25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 x14ac:dyDescent="0.25">
      <c r="C76" s="2"/>
      <c r="D76" s="2"/>
      <c r="E76" s="125" t="s">
        <v>83</v>
      </c>
      <c r="F76" s="511">
        <f>'2ª Fase'!E40:I40</f>
        <v>0</v>
      </c>
      <c r="G76" s="511"/>
      <c r="H76" s="511"/>
      <c r="I76" s="511"/>
      <c r="J76" s="512"/>
      <c r="K76" s="50"/>
      <c r="L76" s="1"/>
      <c r="M76" s="1"/>
    </row>
    <row r="77" spans="1:25" ht="15" customHeight="1" x14ac:dyDescent="0.2">
      <c r="C77" s="2"/>
      <c r="D77" s="2"/>
      <c r="E77" s="126" t="s">
        <v>84</v>
      </c>
      <c r="F77" s="513">
        <f>'2ª Fase'!E41:I41</f>
        <v>0</v>
      </c>
      <c r="G77" s="513"/>
      <c r="H77" s="513"/>
      <c r="I77" s="513"/>
      <c r="J77" s="514"/>
      <c r="K77" s="50"/>
      <c r="L77" s="1"/>
      <c r="M77" s="1"/>
    </row>
    <row r="78" spans="1:25" ht="15" customHeight="1" x14ac:dyDescent="0.2">
      <c r="C78" s="2"/>
      <c r="D78" s="2"/>
      <c r="E78" s="127" t="s">
        <v>102</v>
      </c>
      <c r="F78" s="515">
        <f>'2ª Fase'!E42:I42</f>
        <v>0</v>
      </c>
      <c r="G78" s="515"/>
      <c r="H78" s="515"/>
      <c r="I78" s="515"/>
      <c r="J78" s="516"/>
      <c r="K78" s="50"/>
      <c r="L78" s="1"/>
      <c r="M78" s="1"/>
    </row>
    <row r="79" spans="1:25" ht="15" customHeight="1" thickBot="1" x14ac:dyDescent="0.25">
      <c r="C79" s="2"/>
      <c r="D79" s="2"/>
      <c r="E79" s="128" t="s">
        <v>103</v>
      </c>
      <c r="F79" s="517">
        <f>'2ª Fase'!E43:I43</f>
        <v>0</v>
      </c>
      <c r="G79" s="517"/>
      <c r="H79" s="517"/>
      <c r="I79" s="517"/>
      <c r="J79" s="518"/>
      <c r="K79" s="50"/>
      <c r="L79" s="1"/>
      <c r="M79" s="1"/>
    </row>
    <row r="80" spans="1:25" ht="15" hidden="1" customHeight="1" x14ac:dyDescent="0.2">
      <c r="C80" s="2"/>
      <c r="D80" s="2"/>
      <c r="E80" s="192"/>
      <c r="F80" s="509"/>
      <c r="G80" s="509"/>
      <c r="H80" s="509"/>
      <c r="I80" s="509"/>
      <c r="J80" s="510"/>
      <c r="K80" s="50"/>
      <c r="L80" s="129"/>
      <c r="M80" s="1"/>
    </row>
    <row r="81" spans="3:13" ht="15.75" x14ac:dyDescent="0.2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 x14ac:dyDescent="0.2"/>
    <row r="90" spans="3:13" ht="15.75" customHeight="1" x14ac:dyDescent="0.2"/>
    <row r="91" spans="3:13" ht="15.75" customHeight="1" x14ac:dyDescent="0.2"/>
    <row r="92" spans="3:13" ht="15.75" customHeight="1" x14ac:dyDescent="0.2"/>
    <row r="93" spans="3:13" ht="15.75" customHeight="1" x14ac:dyDescent="0.2"/>
    <row r="94" spans="3:13" ht="15.75" customHeight="1" x14ac:dyDescent="0.2"/>
    <row r="95" spans="3:13" ht="15.75" customHeight="1" x14ac:dyDescent="0.2"/>
    <row r="96" spans="3:13" ht="15.75" customHeight="1" x14ac:dyDescent="0.2"/>
    <row r="117" spans="2:25" s="9" customFormat="1" ht="15.75" hidden="1" x14ac:dyDescent="0.2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F76:J76"/>
    <mergeCell ref="F77:J77"/>
    <mergeCell ref="F78:J78"/>
    <mergeCell ref="F79:J79"/>
    <mergeCell ref="F80:J80"/>
    <mergeCell ref="L72:M72"/>
    <mergeCell ref="B45:B50"/>
    <mergeCell ref="L45:M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O45:P45"/>
    <mergeCell ref="B39:B44"/>
    <mergeCell ref="L39:M39"/>
    <mergeCell ref="L40:M40"/>
    <mergeCell ref="L41:M41"/>
    <mergeCell ref="L42:M42"/>
    <mergeCell ref="L43:M43"/>
    <mergeCell ref="L44:M44"/>
    <mergeCell ref="O39:P39"/>
    <mergeCell ref="O33:P33"/>
    <mergeCell ref="B27:B32"/>
    <mergeCell ref="L27:M27"/>
    <mergeCell ref="L28:M28"/>
    <mergeCell ref="L29:M29"/>
    <mergeCell ref="L30:M30"/>
    <mergeCell ref="L31:M31"/>
    <mergeCell ref="L32:M32"/>
    <mergeCell ref="O27:P27"/>
    <mergeCell ref="B33:B38"/>
    <mergeCell ref="L33:M33"/>
    <mergeCell ref="L34:M34"/>
    <mergeCell ref="L35:M35"/>
    <mergeCell ref="L36:M36"/>
    <mergeCell ref="L37:M37"/>
    <mergeCell ref="L38:M38"/>
    <mergeCell ref="O21:P21"/>
    <mergeCell ref="B15:B20"/>
    <mergeCell ref="L15:M15"/>
    <mergeCell ref="L16:M16"/>
    <mergeCell ref="L17:M17"/>
    <mergeCell ref="L18:M18"/>
    <mergeCell ref="L19:M19"/>
    <mergeCell ref="L20:M20"/>
    <mergeCell ref="O15:P15"/>
    <mergeCell ref="B21:B26"/>
    <mergeCell ref="L21:M21"/>
    <mergeCell ref="L22:M22"/>
    <mergeCell ref="L23:M23"/>
    <mergeCell ref="L24:M24"/>
    <mergeCell ref="L25:M25"/>
    <mergeCell ref="L26:M26"/>
    <mergeCell ref="O9:P9"/>
    <mergeCell ref="B3:B8"/>
    <mergeCell ref="L3:M3"/>
    <mergeCell ref="O3:P3"/>
    <mergeCell ref="L4:M4"/>
    <mergeCell ref="L5:M5"/>
    <mergeCell ref="L6:M6"/>
    <mergeCell ref="L7:M7"/>
    <mergeCell ref="L8:M8"/>
    <mergeCell ref="B9:B14"/>
    <mergeCell ref="L9:M9"/>
    <mergeCell ref="L10:M10"/>
    <mergeCell ref="L11:M11"/>
    <mergeCell ref="L12:M12"/>
    <mergeCell ref="L13:M13"/>
    <mergeCell ref="L14:M14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670" priority="43" stopIfTrue="1" operator="equal">
      <formula>#REF!</formula>
    </cfRule>
  </conditionalFormatting>
  <conditionalFormatting sqref="M54:N54">
    <cfRule type="expression" dxfId="669" priority="42">
      <formula>$H$14="penaltis"</formula>
    </cfRule>
  </conditionalFormatting>
  <conditionalFormatting sqref="L55:N55">
    <cfRule type="expression" dxfId="668" priority="41">
      <formula>$H$15="penaltis"</formula>
    </cfRule>
  </conditionalFormatting>
  <conditionalFormatting sqref="L56:N56">
    <cfRule type="expression" dxfId="667" priority="40">
      <formula>$H$16="penaltis"</formula>
    </cfRule>
  </conditionalFormatting>
  <conditionalFormatting sqref="L57:N57">
    <cfRule type="expression" dxfId="666" priority="39">
      <formula>$H$17="penaltis"</formula>
    </cfRule>
  </conditionalFormatting>
  <conditionalFormatting sqref="L58:N58">
    <cfRule type="expression" dxfId="665" priority="38">
      <formula>$H$18="penaltis"</formula>
    </cfRule>
  </conditionalFormatting>
  <conditionalFormatting sqref="L59:N59">
    <cfRule type="expression" dxfId="664" priority="37">
      <formula>$H$19="penaltis"</formula>
    </cfRule>
  </conditionalFormatting>
  <conditionalFormatting sqref="L60:N60">
    <cfRule type="expression" dxfId="663" priority="36">
      <formula>$H$20="penaltis"</formula>
    </cfRule>
  </conditionalFormatting>
  <conditionalFormatting sqref="L61:N61">
    <cfRule type="expression" dxfId="662" priority="35">
      <formula>$H$21="penaltis"</formula>
    </cfRule>
  </conditionalFormatting>
  <conditionalFormatting sqref="N63">
    <cfRule type="expression" dxfId="661" priority="34">
      <formula>$H$23="penaltis"</formula>
    </cfRule>
  </conditionalFormatting>
  <conditionalFormatting sqref="N64">
    <cfRule type="expression" dxfId="660" priority="33" stopIfTrue="1">
      <formula>$H$24="penaltis"</formula>
    </cfRule>
  </conditionalFormatting>
  <conditionalFormatting sqref="N65">
    <cfRule type="expression" dxfId="659" priority="32" stopIfTrue="1">
      <formula>$H$25="penaltis"</formula>
    </cfRule>
  </conditionalFormatting>
  <conditionalFormatting sqref="N66">
    <cfRule type="expression" dxfId="658" priority="31" stopIfTrue="1">
      <formula>$H$26="penaltis"</formula>
    </cfRule>
  </conditionalFormatting>
  <conditionalFormatting sqref="N68">
    <cfRule type="expression" dxfId="657" priority="30" stopIfTrue="1">
      <formula>$H$28="penaltis"</formula>
    </cfRule>
  </conditionalFormatting>
  <conditionalFormatting sqref="N69">
    <cfRule type="expression" dxfId="656" priority="29" stopIfTrue="1">
      <formula>$H$29="penaltis"</formula>
    </cfRule>
  </conditionalFormatting>
  <conditionalFormatting sqref="N71">
    <cfRule type="expression" dxfId="655" priority="28" stopIfTrue="1">
      <formula>$H$31="penaltis"</formula>
    </cfRule>
  </conditionalFormatting>
  <conditionalFormatting sqref="N73">
    <cfRule type="expression" dxfId="654" priority="27" stopIfTrue="1">
      <formula>$H$33="penaltis"</formula>
    </cfRule>
  </conditionalFormatting>
  <conditionalFormatting sqref="L54:M54">
    <cfRule type="expression" dxfId="653" priority="26" stopIfTrue="1">
      <formula>$K$54="penaltis"</formula>
    </cfRule>
  </conditionalFormatting>
  <conditionalFormatting sqref="L55:M55">
    <cfRule type="expression" dxfId="652" priority="25" stopIfTrue="1">
      <formula>$K$55="penaltis"</formula>
    </cfRule>
  </conditionalFormatting>
  <conditionalFormatting sqref="L56:M56">
    <cfRule type="expression" dxfId="651" priority="24" stopIfTrue="1">
      <formula>$K$56="penaltis"</formula>
    </cfRule>
  </conditionalFormatting>
  <conditionalFormatting sqref="L57:M57">
    <cfRule type="expression" dxfId="650" priority="23" stopIfTrue="1">
      <formula>$K$57="penaltis"</formula>
    </cfRule>
  </conditionalFormatting>
  <conditionalFormatting sqref="L58:M58">
    <cfRule type="expression" dxfId="649" priority="22" stopIfTrue="1">
      <formula>$K$58="penaltis"</formula>
    </cfRule>
  </conditionalFormatting>
  <conditionalFormatting sqref="L59:M59">
    <cfRule type="expression" dxfId="648" priority="21" stopIfTrue="1">
      <formula>$K$59="penaltis"</formula>
    </cfRule>
  </conditionalFormatting>
  <conditionalFormatting sqref="L60:M60">
    <cfRule type="expression" dxfId="647" priority="20" stopIfTrue="1">
      <formula>$K$60="penaltis"</formula>
    </cfRule>
  </conditionalFormatting>
  <conditionalFormatting sqref="L61:M61">
    <cfRule type="expression" dxfId="646" priority="19" stopIfTrue="1">
      <formula>$K$61="penaltis"</formula>
    </cfRule>
  </conditionalFormatting>
  <conditionalFormatting sqref="L63:M63">
    <cfRule type="expression" dxfId="645" priority="18">
      <formula>$K$63="penaltis"</formula>
    </cfRule>
  </conditionalFormatting>
  <conditionalFormatting sqref="L64:M64">
    <cfRule type="expression" dxfId="644" priority="17">
      <formula>$K$64="penaltis"</formula>
    </cfRule>
  </conditionalFormatting>
  <conditionalFormatting sqref="L65:M65">
    <cfRule type="expression" dxfId="643" priority="16">
      <formula>$K$65="penaltis"</formula>
    </cfRule>
  </conditionalFormatting>
  <conditionalFormatting sqref="L66:M66">
    <cfRule type="expression" dxfId="642" priority="15">
      <formula>$K$66="penaltis"</formula>
    </cfRule>
  </conditionalFormatting>
  <conditionalFormatting sqref="L68:M68">
    <cfRule type="expression" dxfId="641" priority="14">
      <formula>$K$68="penaltis"</formula>
    </cfRule>
  </conditionalFormatting>
  <conditionalFormatting sqref="L69:M69">
    <cfRule type="expression" dxfId="640" priority="13">
      <formula>$K$69="penaltis"</formula>
    </cfRule>
  </conditionalFormatting>
  <conditionalFormatting sqref="L71:M71">
    <cfRule type="expression" dxfId="639" priority="12">
      <formula>$K$71="penaltis"</formula>
    </cfRule>
  </conditionalFormatting>
  <conditionalFormatting sqref="L73:M73">
    <cfRule type="expression" dxfId="638" priority="11">
      <formula>$K$73="penaltis"</formula>
    </cfRule>
  </conditionalFormatting>
  <conditionalFormatting sqref="O4:X5">
    <cfRule type="expression" dxfId="637" priority="10">
      <formula>$R$8=12</formula>
    </cfRule>
  </conditionalFormatting>
  <conditionalFormatting sqref="O10:X11">
    <cfRule type="expression" dxfId="636" priority="9">
      <formula>$R$14=12</formula>
    </cfRule>
  </conditionalFormatting>
  <conditionalFormatting sqref="O16:X17">
    <cfRule type="expression" dxfId="635" priority="8">
      <formula>$R$20=12</formula>
    </cfRule>
  </conditionalFormatting>
  <conditionalFormatting sqref="O22:X23">
    <cfRule type="expression" dxfId="634" priority="7">
      <formula>$R$26=12</formula>
    </cfRule>
  </conditionalFormatting>
  <conditionalFormatting sqref="O28:X29">
    <cfRule type="expression" dxfId="633" priority="6">
      <formula>$R$32=12</formula>
    </cfRule>
  </conditionalFormatting>
  <conditionalFormatting sqref="O34:X35">
    <cfRule type="expression" dxfId="632" priority="5">
      <formula>$R$38=12</formula>
    </cfRule>
  </conditionalFormatting>
  <conditionalFormatting sqref="O40:X41">
    <cfRule type="expression" dxfId="631" priority="4">
      <formula>$R$44=12</formula>
    </cfRule>
  </conditionalFormatting>
  <conditionalFormatting sqref="O46:X47">
    <cfRule type="expression" dxfId="630" priority="3">
      <formula>$R$50=12</formula>
    </cfRule>
  </conditionalFormatting>
  <conditionalFormatting sqref="F62:J73 B45 B9 B15 B21 B27 B33 B3 F3:F50 J3:J50">
    <cfRule type="cellIs" dxfId="629" priority="44" stopIfTrue="1" operator="equal">
      <formula>#REF!</formula>
    </cfRule>
  </conditionalFormatting>
  <conditionalFormatting sqref="B39">
    <cfRule type="cellIs" dxfId="628" priority="2" stopIfTrue="1" operator="equal">
      <formula>#REF!</formula>
    </cfRule>
  </conditionalFormatting>
  <conditionalFormatting sqref="F54:J61">
    <cfRule type="cellIs" dxfId="627" priority="1" stopIfTrue="1" operator="equal">
      <formula>$Z$7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 xr:uid="{00000000-0002-0000-0800-000000000000}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HW117"/>
  <sheetViews>
    <sheetView topLeftCell="D17" workbookViewId="0">
      <selection activeCell="F3" sqref="F3:J50"/>
    </sheetView>
  </sheetViews>
  <sheetFormatPr defaultColWidth="0" defaultRowHeight="0" customHeight="1" zeroHeight="1" x14ac:dyDescent="0.2"/>
  <cols>
    <col min="1" max="1" width="6.3203125" customWidth="1"/>
    <col min="2" max="2" width="6.05078125" style="5" bestFit="1" customWidth="1"/>
    <col min="3" max="3" width="9.81640625" style="10" bestFit="1" customWidth="1"/>
    <col min="4" max="4" width="5.24609375" style="10" bestFit="1" customWidth="1"/>
    <col min="5" max="5" width="17.75390625" style="10" bestFit="1" customWidth="1"/>
    <col min="6" max="6" width="25.69140625" style="11" customWidth="1"/>
    <col min="7" max="7" width="2.6875" style="42" customWidth="1"/>
    <col min="8" max="8" width="2.6875" customWidth="1"/>
    <col min="9" max="9" width="2.6875" style="42" customWidth="1"/>
    <col min="10" max="10" width="25.69140625" style="12" customWidth="1"/>
    <col min="11" max="11" width="13.31640625" style="51" hidden="1" customWidth="1"/>
    <col min="12" max="13" width="3.2265625" customWidth="1"/>
    <col min="14" max="14" width="2.82421875" style="1" customWidth="1"/>
    <col min="15" max="15" width="2.015625" style="109" bestFit="1" customWidth="1"/>
    <col min="16" max="16" width="26.09765625" style="113" customWidth="1"/>
    <col min="17" max="17" width="4.70703125" style="322" customWidth="1"/>
    <col min="18" max="18" width="3.765625" style="322" customWidth="1"/>
    <col min="19" max="19" width="1.8828125" style="322" customWidth="1"/>
    <col min="20" max="20" width="2.28515625" style="322" customWidth="1"/>
    <col min="21" max="21" width="3.765625" style="322" customWidth="1"/>
    <col min="22" max="22" width="2.015625" style="322" customWidth="1"/>
    <col min="23" max="24" width="3.765625" style="322" hidden="1" customWidth="1"/>
    <col min="25" max="25" width="12.9140625" style="1" customWidth="1"/>
    <col min="26" max="36" width="9.14453125" hidden="1" customWidth="1"/>
    <col min="37" max="37" width="8.47265625" hidden="1" customWidth="1"/>
    <col min="38" max="38" width="8.7421875" hidden="1" customWidth="1"/>
    <col min="39" max="39" width="10.0859375" hidden="1" customWidth="1"/>
    <col min="40" max="230" width="9.14453125" hidden="1" customWidth="1"/>
    <col min="231" max="231" width="7.26171875" hidden="1" customWidth="1"/>
    <col min="232" max="16384" width="9.14453125" hidden="1"/>
  </cols>
  <sheetData>
    <row r="1" spans="1:25" s="58" customFormat="1" ht="15" customHeight="1" x14ac:dyDescent="0.2">
      <c r="B1" s="496" t="s">
        <v>94</v>
      </c>
      <c r="C1" s="498" t="s">
        <v>95</v>
      </c>
      <c r="D1" s="498" t="s">
        <v>74</v>
      </c>
      <c r="E1" s="500" t="s">
        <v>75</v>
      </c>
      <c r="F1" s="487" t="s">
        <v>96</v>
      </c>
      <c r="G1" s="488"/>
      <c r="H1" s="488"/>
      <c r="I1" s="488"/>
      <c r="J1" s="489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 x14ac:dyDescent="0.25">
      <c r="B2" s="497"/>
      <c r="C2" s="499"/>
      <c r="D2" s="499"/>
      <c r="E2" s="501"/>
      <c r="F2" s="490"/>
      <c r="G2" s="491"/>
      <c r="H2" s="491"/>
      <c r="I2" s="491"/>
      <c r="J2" s="492"/>
      <c r="K2" s="51"/>
      <c r="L2" s="493"/>
      <c r="M2" s="494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 x14ac:dyDescent="0.25">
      <c r="A3" s="60" t="s">
        <v>284</v>
      </c>
      <c r="B3" s="48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75">
        <v>0</v>
      </c>
      <c r="H3" s="76" t="s">
        <v>0</v>
      </c>
      <c r="I3" s="131">
        <v>2</v>
      </c>
      <c r="J3" s="77" t="s">
        <v>142</v>
      </c>
      <c r="K3" s="52"/>
      <c r="L3" s="495">
        <f>IF(OR(Copa2022!F11="",G3=""),"",
IF(AND(Copa2022!F11=G3,Copa2022!H11=I3),Regras!$J$25,IF(Y3=Regras!F25,Regras!$J$26,0)))</f>
        <v>10</v>
      </c>
      <c r="M3" s="495"/>
      <c r="N3" s="318"/>
      <c r="O3" s="502" t="s">
        <v>34</v>
      </c>
      <c r="P3" s="503"/>
      <c r="Q3" s="324" t="str">
        <f>IF(Copa2022!F16="","",IF(Copa2022!O12=Germano!P4,Regras!$J$27,0))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 x14ac:dyDescent="0.2">
      <c r="A4" s="60" t="s">
        <v>285</v>
      </c>
      <c r="B4" s="485"/>
      <c r="C4" s="171">
        <v>44886</v>
      </c>
      <c r="D4" s="194" t="s">
        <v>134</v>
      </c>
      <c r="E4" s="172" t="s">
        <v>157</v>
      </c>
      <c r="F4" s="78" t="s">
        <v>131</v>
      </c>
      <c r="G4" s="79">
        <v>0</v>
      </c>
      <c r="H4" s="80" t="s">
        <v>0</v>
      </c>
      <c r="I4" s="132">
        <v>2</v>
      </c>
      <c r="J4" s="81" t="s">
        <v>140</v>
      </c>
      <c r="K4" s="52"/>
      <c r="L4" s="495">
        <f>IF(OR(Copa2022!F12="",G4=""),"",
IF(AND(Copa2022!F12=G4,Copa2022!H12=I4),Regras!$J$25,IF(Y4=Regras!F26,Regras!$J$26,0)))</f>
        <v>10</v>
      </c>
      <c r="M4" s="495"/>
      <c r="N4" s="318"/>
      <c r="O4" s="103">
        <v>1</v>
      </c>
      <c r="P4" s="100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 x14ac:dyDescent="0.25">
      <c r="A5" s="60" t="s">
        <v>286</v>
      </c>
      <c r="B5" s="485"/>
      <c r="C5" s="171">
        <v>44890</v>
      </c>
      <c r="D5" s="194" t="s">
        <v>135</v>
      </c>
      <c r="E5" s="172" t="s">
        <v>157</v>
      </c>
      <c r="F5" s="78" t="s">
        <v>141</v>
      </c>
      <c r="G5" s="79">
        <v>0</v>
      </c>
      <c r="H5" s="80" t="s">
        <v>0</v>
      </c>
      <c r="I5" s="132">
        <v>1</v>
      </c>
      <c r="J5" s="81" t="s">
        <v>131</v>
      </c>
      <c r="K5" s="52"/>
      <c r="L5" s="495" t="str">
        <f>IF(OR(Copa2022!F13="",G5=""),"",
IF(AND(Copa2022!F13=G5,Copa2022!H13=I5),Regras!$J$25,IF(Y5=Regras!F27,Regras!$J$26,0)))</f>
        <v/>
      </c>
      <c r="M5" s="495"/>
      <c r="N5" s="318"/>
      <c r="O5" s="106">
        <v>2</v>
      </c>
      <c r="P5" s="107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 x14ac:dyDescent="0.2">
      <c r="A6" s="60" t="s">
        <v>287</v>
      </c>
      <c r="B6" s="485"/>
      <c r="C6" s="171">
        <v>44890</v>
      </c>
      <c r="D6" s="194" t="s">
        <v>134</v>
      </c>
      <c r="E6" s="172" t="s">
        <v>143</v>
      </c>
      <c r="F6" s="78" t="s">
        <v>140</v>
      </c>
      <c r="G6" s="79">
        <v>2</v>
      </c>
      <c r="H6" s="80" t="s">
        <v>0</v>
      </c>
      <c r="I6" s="132">
        <v>1</v>
      </c>
      <c r="J6" s="81" t="s">
        <v>142</v>
      </c>
      <c r="K6" s="52"/>
      <c r="L6" s="495" t="str">
        <f>IF(OR(Copa2022!F14="",G6=""),"",
IF(AND(Copa2022!F14=G6,Copa2022!H14=I6),Regras!$J$25,IF(Y6=Regras!F28,Regras!$J$26,0)))</f>
        <v/>
      </c>
      <c r="M6" s="495"/>
      <c r="N6" s="318"/>
      <c r="O6" s="103">
        <v>3</v>
      </c>
      <c r="P6" s="100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 x14ac:dyDescent="0.25">
      <c r="A7" s="60" t="s">
        <v>288</v>
      </c>
      <c r="B7" s="485"/>
      <c r="C7" s="171">
        <v>44894</v>
      </c>
      <c r="D7" s="194" t="s">
        <v>132</v>
      </c>
      <c r="E7" s="172" t="s">
        <v>161</v>
      </c>
      <c r="F7" s="78" t="s">
        <v>140</v>
      </c>
      <c r="G7" s="79">
        <v>3</v>
      </c>
      <c r="H7" s="80" t="s">
        <v>0</v>
      </c>
      <c r="I7" s="132">
        <v>0</v>
      </c>
      <c r="J7" s="81" t="s">
        <v>141</v>
      </c>
      <c r="K7" s="52"/>
      <c r="L7" s="495" t="str">
        <f>IF(OR(Copa2022!F15="",G7=""),"",
IF(AND(Copa2022!F15=G7,Copa2022!H15=I7),Regras!$J$25,IF(Y7=Regras!F29,Regras!$J$26,0)))</f>
        <v/>
      </c>
      <c r="M7" s="495"/>
      <c r="N7" s="318"/>
      <c r="O7" s="104">
        <v>4</v>
      </c>
      <c r="P7" s="105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 x14ac:dyDescent="0.25">
      <c r="A8" s="60" t="s">
        <v>289</v>
      </c>
      <c r="B8" s="486"/>
      <c r="C8" s="173">
        <v>44590</v>
      </c>
      <c r="D8" s="195" t="s">
        <v>132</v>
      </c>
      <c r="E8" s="174" t="s">
        <v>143</v>
      </c>
      <c r="F8" s="86" t="s">
        <v>142</v>
      </c>
      <c r="G8" s="87">
        <v>1</v>
      </c>
      <c r="H8" s="88" t="s">
        <v>0</v>
      </c>
      <c r="I8" s="133">
        <v>2</v>
      </c>
      <c r="J8" s="89" t="s">
        <v>131</v>
      </c>
      <c r="K8" s="52"/>
      <c r="L8" s="495" t="str">
        <f>IF(OR(Copa2022!F16="",G8=""),"",
IF(AND(Copa2022!F16=G8,Copa2022!H16=I8),Regras!$J$25,IF(Y8=Regras!F30,Regras!$J$26,0)))</f>
        <v/>
      </c>
      <c r="M8" s="495"/>
      <c r="N8" s="318"/>
      <c r="O8" s="115"/>
      <c r="P8" s="13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 x14ac:dyDescent="0.25">
      <c r="A9" s="60" t="s">
        <v>290</v>
      </c>
      <c r="B9" s="48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83">
        <v>2</v>
      </c>
      <c r="H9" s="84" t="s">
        <v>0</v>
      </c>
      <c r="I9" s="134">
        <v>0</v>
      </c>
      <c r="J9" s="85" t="s">
        <v>123</v>
      </c>
      <c r="K9" s="52"/>
      <c r="L9" s="495">
        <f>IF(OR(Copa2022!F17="",G9=""),"",
IF(AND(Copa2022!F17=G9,Copa2022!H17=I9),Regras!$J$25,IF(Y9=Regras!F31,Regras!$J$26,0)))</f>
        <v>5</v>
      </c>
      <c r="M9" s="495"/>
      <c r="N9" s="318"/>
      <c r="O9" s="502" t="s">
        <v>48</v>
      </c>
      <c r="P9" s="503"/>
      <c r="Q9" s="324" t="str">
        <f>IF(Copa2022!F22="","",IF(Copa2022!O18=Germano!P10,Regras!$J$27,0))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 x14ac:dyDescent="0.2">
      <c r="A10" s="60" t="s">
        <v>291</v>
      </c>
      <c r="B10" s="485"/>
      <c r="C10" s="171">
        <v>44886</v>
      </c>
      <c r="D10" s="194" t="s">
        <v>136</v>
      </c>
      <c r="E10" s="177" t="s">
        <v>162</v>
      </c>
      <c r="F10" s="78" t="s">
        <v>145</v>
      </c>
      <c r="G10" s="79">
        <v>1</v>
      </c>
      <c r="H10" s="80" t="s">
        <v>0</v>
      </c>
      <c r="I10" s="132">
        <v>1</v>
      </c>
      <c r="J10" s="81" t="s">
        <v>158</v>
      </c>
      <c r="K10" s="52"/>
      <c r="L10" s="495">
        <f>IF(OR(Copa2022!F18="",G10=""),"",
IF(AND(Copa2022!F18=G10,Copa2022!H18=I10),Regras!$J$25,IF(Y10=Regras!F32,Regras!$J$26,0)))</f>
        <v>10</v>
      </c>
      <c r="M10" s="495"/>
      <c r="N10" s="318"/>
      <c r="O10" s="103">
        <v>1</v>
      </c>
      <c r="P10" s="100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empate</v>
      </c>
    </row>
    <row r="11" spans="1:25" s="60" customFormat="1" ht="35.1" customHeight="1" thickBot="1" x14ac:dyDescent="0.25">
      <c r="A11" s="60" t="s">
        <v>292</v>
      </c>
      <c r="B11" s="485"/>
      <c r="C11" s="171">
        <v>44890</v>
      </c>
      <c r="D11" s="194" t="s">
        <v>133</v>
      </c>
      <c r="E11" s="177" t="s">
        <v>162</v>
      </c>
      <c r="F11" s="78" t="s">
        <v>158</v>
      </c>
      <c r="G11" s="79">
        <v>0</v>
      </c>
      <c r="H11" s="80" t="s">
        <v>0</v>
      </c>
      <c r="I11" s="132">
        <v>0</v>
      </c>
      <c r="J11" s="81" t="s">
        <v>123</v>
      </c>
      <c r="K11" s="52"/>
      <c r="L11" s="495" t="str">
        <f>IF(OR(Copa2022!F19="",G11=""),"",
IF(AND(Copa2022!F19=G11,Copa2022!H19=I11),Regras!$J$25,IF(Y11=Regras!F33,Regras!$J$26,0)))</f>
        <v/>
      </c>
      <c r="M11" s="495"/>
      <c r="N11" s="318"/>
      <c r="O11" s="106">
        <v>2</v>
      </c>
      <c r="P11" s="107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 x14ac:dyDescent="0.2">
      <c r="A12" s="60" t="s">
        <v>293</v>
      </c>
      <c r="B12" s="485"/>
      <c r="C12" s="171">
        <v>44890</v>
      </c>
      <c r="D12" s="194" t="s">
        <v>136</v>
      </c>
      <c r="E12" s="177" t="s">
        <v>161</v>
      </c>
      <c r="F12" s="78" t="s">
        <v>6</v>
      </c>
      <c r="G12" s="79">
        <v>2</v>
      </c>
      <c r="H12" s="80" t="s">
        <v>0</v>
      </c>
      <c r="I12" s="132">
        <v>0</v>
      </c>
      <c r="J12" s="81" t="s">
        <v>145</v>
      </c>
      <c r="K12" s="52"/>
      <c r="L12" s="495" t="str">
        <f>IF(OR(Copa2022!F20="",G12=""),"",
IF(AND(Copa2022!F20=G12,Copa2022!H20=I12),Regras!$J$25,IF(Y12=Regras!F34,Regras!$J$26,0)))</f>
        <v/>
      </c>
      <c r="M12" s="495"/>
      <c r="N12" s="318"/>
      <c r="O12" s="103">
        <v>3</v>
      </c>
      <c r="P12" s="100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 x14ac:dyDescent="0.25">
      <c r="A13" s="60" t="s">
        <v>294</v>
      </c>
      <c r="B13" s="485"/>
      <c r="C13" s="171">
        <v>44894</v>
      </c>
      <c r="D13" s="194" t="s">
        <v>136</v>
      </c>
      <c r="E13" s="177" t="s">
        <v>162</v>
      </c>
      <c r="F13" s="78" t="s">
        <v>158</v>
      </c>
      <c r="G13" s="79">
        <v>0</v>
      </c>
      <c r="H13" s="80" t="s">
        <v>0</v>
      </c>
      <c r="I13" s="132">
        <v>1</v>
      </c>
      <c r="J13" s="81" t="s">
        <v>6</v>
      </c>
      <c r="K13" s="52"/>
      <c r="L13" s="495" t="str">
        <f>IF(OR(Copa2022!F21="",G13=""),"",
IF(AND(Copa2022!F21=G13,Copa2022!H21=I13),Regras!$J$25,IF(Y13=Regras!F35,Regras!$J$26,0)))</f>
        <v/>
      </c>
      <c r="M13" s="495"/>
      <c r="N13" s="318"/>
      <c r="O13" s="104">
        <v>4</v>
      </c>
      <c r="P13" s="105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 x14ac:dyDescent="0.25">
      <c r="A14" s="60" t="s">
        <v>295</v>
      </c>
      <c r="B14" s="486"/>
      <c r="C14" s="173">
        <v>44894</v>
      </c>
      <c r="D14" s="195" t="s">
        <v>136</v>
      </c>
      <c r="E14" s="178" t="s">
        <v>157</v>
      </c>
      <c r="F14" s="90" t="s">
        <v>123</v>
      </c>
      <c r="G14" s="91">
        <v>0</v>
      </c>
      <c r="H14" s="92" t="s">
        <v>0</v>
      </c>
      <c r="I14" s="135">
        <v>1</v>
      </c>
      <c r="J14" s="93" t="s">
        <v>145</v>
      </c>
      <c r="K14" s="52"/>
      <c r="L14" s="495" t="str">
        <f>IF(OR(Copa2022!F22="",G14=""),"",
IF(AND(Copa2022!F22=G14,Copa2022!H22=I14),Regras!$J$25,IF(Y14=Regras!F36,Regras!$J$26,0)))</f>
        <v/>
      </c>
      <c r="M14" s="495"/>
      <c r="N14" s="318"/>
      <c r="O14" s="63"/>
      <c r="P14" s="100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 x14ac:dyDescent="0.25">
      <c r="A15" s="60" t="s">
        <v>296</v>
      </c>
      <c r="B15" s="48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75">
        <v>1</v>
      </c>
      <c r="H15" s="76" t="s">
        <v>0</v>
      </c>
      <c r="I15" s="131">
        <v>0</v>
      </c>
      <c r="J15" s="77" t="s">
        <v>125</v>
      </c>
      <c r="K15" s="52"/>
      <c r="L15" s="495">
        <f>IF(OR(Copa2022!F23="",G15=""),"",
IF(AND(Copa2022!F23=G15,Copa2022!H23=I15),Regras!$J$25,IF(Y15=Regras!F37,Regras!$J$26,0)))</f>
        <v>0</v>
      </c>
      <c r="M15" s="495"/>
      <c r="N15" s="318"/>
      <c r="O15" s="502" t="s">
        <v>50</v>
      </c>
      <c r="P15" s="503"/>
      <c r="Q15" s="324" t="str">
        <f>IF(Copa2022!F28="","",IF(Copa2022!O24=Germano!P16,Regras!$J$27,0))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 x14ac:dyDescent="0.2">
      <c r="A16" s="60" t="s">
        <v>297</v>
      </c>
      <c r="B16" s="485"/>
      <c r="C16" s="171">
        <v>44887</v>
      </c>
      <c r="D16" s="194" t="s">
        <v>134</v>
      </c>
      <c r="E16" s="172" t="s">
        <v>163</v>
      </c>
      <c r="F16" s="78" t="s">
        <v>1</v>
      </c>
      <c r="G16" s="79">
        <v>1</v>
      </c>
      <c r="H16" s="80" t="s">
        <v>0</v>
      </c>
      <c r="I16" s="132">
        <v>1</v>
      </c>
      <c r="J16" s="81" t="s">
        <v>130</v>
      </c>
      <c r="K16" s="52"/>
      <c r="L16" s="495">
        <f>IF(OR(Copa2022!F24="",G16=""),"",
IF(AND(Copa2022!F24=G16,Copa2022!H24=I16),Regras!$J$25,IF(Y16=Regras!F38,Regras!$J$26,0)))</f>
        <v>5</v>
      </c>
      <c r="M16" s="495"/>
      <c r="N16" s="318"/>
      <c r="O16" s="103">
        <v>1</v>
      </c>
      <c r="P16" s="100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empate</v>
      </c>
    </row>
    <row r="17" spans="1:25" s="60" customFormat="1" ht="35.1" customHeight="1" thickBot="1" x14ac:dyDescent="0.25">
      <c r="A17" s="60" t="s">
        <v>298</v>
      </c>
      <c r="B17" s="485"/>
      <c r="C17" s="171">
        <v>44891</v>
      </c>
      <c r="D17" s="194" t="s">
        <v>135</v>
      </c>
      <c r="E17" s="172" t="s">
        <v>148</v>
      </c>
      <c r="F17" s="78" t="s">
        <v>130</v>
      </c>
      <c r="G17" s="79">
        <v>2</v>
      </c>
      <c r="H17" s="80" t="s">
        <v>0</v>
      </c>
      <c r="I17" s="132">
        <v>0</v>
      </c>
      <c r="J17" s="81" t="s">
        <v>125</v>
      </c>
      <c r="K17" s="52"/>
      <c r="L17" s="495" t="str">
        <f>IF(OR(Copa2022!F25="",G17=""),"",
IF(AND(Copa2022!F25=G17,Copa2022!H25=I17),Regras!$J$25,IF(Y17=Regras!F39,Regras!$J$26,0)))</f>
        <v/>
      </c>
      <c r="M17" s="495"/>
      <c r="N17" s="318"/>
      <c r="O17" s="106">
        <v>2</v>
      </c>
      <c r="P17" s="107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 x14ac:dyDescent="0.2">
      <c r="A18" s="60" t="s">
        <v>299</v>
      </c>
      <c r="B18" s="485"/>
      <c r="C18" s="171">
        <v>44891</v>
      </c>
      <c r="D18" s="194" t="s">
        <v>136</v>
      </c>
      <c r="E18" s="172" t="s">
        <v>146</v>
      </c>
      <c r="F18" s="78" t="s">
        <v>4</v>
      </c>
      <c r="G18" s="79">
        <v>2</v>
      </c>
      <c r="H18" s="80" t="s">
        <v>0</v>
      </c>
      <c r="I18" s="132">
        <v>1</v>
      </c>
      <c r="J18" s="81" t="s">
        <v>1</v>
      </c>
      <c r="K18" s="52"/>
      <c r="L18" s="495" t="str">
        <f>IF(OR(Copa2022!F26="",G18=""),"",
IF(AND(Copa2022!F26=G18,Copa2022!H26=I18),Regras!$J$25,IF(Y18=Regras!F40,Regras!$J$26,0)))</f>
        <v/>
      </c>
      <c r="M18" s="495"/>
      <c r="N18" s="318"/>
      <c r="O18" s="103">
        <v>3</v>
      </c>
      <c r="P18" s="100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 x14ac:dyDescent="0.25">
      <c r="A19" s="60" t="s">
        <v>300</v>
      </c>
      <c r="B19" s="485"/>
      <c r="C19" s="171">
        <v>44895</v>
      </c>
      <c r="D19" s="194" t="s">
        <v>136</v>
      </c>
      <c r="E19" s="172" t="s">
        <v>163</v>
      </c>
      <c r="F19" s="78" t="s">
        <v>130</v>
      </c>
      <c r="G19" s="79">
        <v>0</v>
      </c>
      <c r="H19" s="80" t="s">
        <v>0</v>
      </c>
      <c r="I19" s="132">
        <v>2</v>
      </c>
      <c r="J19" s="81" t="s">
        <v>4</v>
      </c>
      <c r="K19" s="52"/>
      <c r="L19" s="495" t="str">
        <f>IF(OR(Copa2022!F27="",G19=""),"",
IF(AND(Copa2022!F27=G19,Copa2022!H27=I19),Regras!$J$25,IF(Y19=Regras!F41,Regras!$J$26,0)))</f>
        <v/>
      </c>
      <c r="M19" s="495"/>
      <c r="N19" s="318"/>
      <c r="O19" s="104">
        <v>4</v>
      </c>
      <c r="P19" s="105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 x14ac:dyDescent="0.25">
      <c r="A20" s="60" t="s">
        <v>301</v>
      </c>
      <c r="B20" s="486"/>
      <c r="C20" s="173">
        <v>44895</v>
      </c>
      <c r="D20" s="195" t="s">
        <v>136</v>
      </c>
      <c r="E20" s="174" t="s">
        <v>146</v>
      </c>
      <c r="F20" s="86" t="s">
        <v>125</v>
      </c>
      <c r="G20" s="87">
        <v>0</v>
      </c>
      <c r="H20" s="88" t="s">
        <v>0</v>
      </c>
      <c r="I20" s="133">
        <v>2</v>
      </c>
      <c r="J20" s="89" t="s">
        <v>1</v>
      </c>
      <c r="K20" s="52"/>
      <c r="L20" s="495" t="str">
        <f>IF(OR(Copa2022!F28="",G20=""),"",
IF(AND(Copa2022!F28=G20,Copa2022!H28=I20),Regras!$J$25,IF(Y20=Regras!F42,Regras!$J$26,0)))</f>
        <v/>
      </c>
      <c r="M20" s="495"/>
      <c r="N20" s="318"/>
      <c r="O20" s="63"/>
      <c r="P20" s="100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 x14ac:dyDescent="0.25">
      <c r="A21" s="60" t="s">
        <v>302</v>
      </c>
      <c r="B21" s="48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83">
        <v>3</v>
      </c>
      <c r="H21" s="84" t="s">
        <v>0</v>
      </c>
      <c r="I21" s="134">
        <v>0</v>
      </c>
      <c r="J21" s="85" t="s">
        <v>129</v>
      </c>
      <c r="K21" s="52"/>
      <c r="L21" s="495">
        <f>IF(OR(Copa2022!F29="",G21=""),"",
IF(AND(Copa2022!F29=G21,Copa2022!H29=I21),Regras!$J$25,IF(Y21=Regras!F43,Regras!$J$26,0)))</f>
        <v>0</v>
      </c>
      <c r="M21" s="495"/>
      <c r="N21" s="318"/>
      <c r="O21" s="502" t="s">
        <v>51</v>
      </c>
      <c r="P21" s="503"/>
      <c r="Q21" s="324" t="str">
        <f>IF(Copa2022!F34="","",IF(Copa2022!O30=Germano!P22,Regras!$J$27,0))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 x14ac:dyDescent="0.2">
      <c r="A22" s="60" t="s">
        <v>303</v>
      </c>
      <c r="B22" s="485"/>
      <c r="C22" s="171">
        <v>44887</v>
      </c>
      <c r="D22" s="194" t="s">
        <v>136</v>
      </c>
      <c r="E22" s="177" t="s">
        <v>164</v>
      </c>
      <c r="F22" s="78" t="s">
        <v>3</v>
      </c>
      <c r="G22" s="79">
        <v>2</v>
      </c>
      <c r="H22" s="80" t="s">
        <v>0</v>
      </c>
      <c r="I22" s="132">
        <v>0</v>
      </c>
      <c r="J22" s="81" t="s">
        <v>159</v>
      </c>
      <c r="K22" s="52"/>
      <c r="L22" s="495">
        <f>IF(OR(Copa2022!F30="",G22=""),"",
IF(AND(Copa2022!F30=G22,Copa2022!H30=I22),Regras!$J$25,IF(Y22=Regras!F44,Regras!$J$26,0)))</f>
        <v>5</v>
      </c>
      <c r="M22" s="495"/>
      <c r="N22" s="318"/>
      <c r="O22" s="103">
        <v>1</v>
      </c>
      <c r="P22" s="100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 x14ac:dyDescent="0.25">
      <c r="A23" s="60" t="s">
        <v>304</v>
      </c>
      <c r="B23" s="485"/>
      <c r="C23" s="171">
        <v>44891</v>
      </c>
      <c r="D23" s="194" t="s">
        <v>133</v>
      </c>
      <c r="E23" s="177" t="s">
        <v>164</v>
      </c>
      <c r="F23" s="78" t="s">
        <v>129</v>
      </c>
      <c r="G23" s="79">
        <v>0</v>
      </c>
      <c r="H23" s="80" t="s">
        <v>0</v>
      </c>
      <c r="I23" s="132">
        <v>0</v>
      </c>
      <c r="J23" s="81" t="s">
        <v>159</v>
      </c>
      <c r="K23" s="52"/>
      <c r="L23" s="495" t="str">
        <f>IF(OR(Copa2022!F31="",G23=""),"",
IF(AND(Copa2022!F31=G23,Copa2022!H31=I23),Regras!$J$25,IF(Y23=Regras!F45,Regras!$J$26,0)))</f>
        <v/>
      </c>
      <c r="M23" s="495"/>
      <c r="N23" s="318"/>
      <c r="O23" s="106">
        <v>2</v>
      </c>
      <c r="P23" s="107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 x14ac:dyDescent="0.2">
      <c r="A24" s="60" t="s">
        <v>305</v>
      </c>
      <c r="B24" s="485"/>
      <c r="C24" s="171">
        <v>44891</v>
      </c>
      <c r="D24" s="194" t="s">
        <v>134</v>
      </c>
      <c r="E24" s="177" t="s">
        <v>163</v>
      </c>
      <c r="F24" s="78" t="s">
        <v>3</v>
      </c>
      <c r="G24" s="79">
        <v>2</v>
      </c>
      <c r="H24" s="80" t="s">
        <v>0</v>
      </c>
      <c r="I24" s="132">
        <v>1</v>
      </c>
      <c r="J24" s="81" t="s">
        <v>127</v>
      </c>
      <c r="K24" s="52"/>
      <c r="L24" s="495" t="str">
        <f>IF(OR(Copa2022!F32="",G24=""),"",
IF(AND(Copa2022!F32=G24,Copa2022!H32=I24),Regras!$J$25,IF(Y24=Regras!F46,Regras!$J$26,0)))</f>
        <v/>
      </c>
      <c r="M24" s="495"/>
      <c r="N24" s="318"/>
      <c r="O24" s="103">
        <v>3</v>
      </c>
      <c r="P24" s="100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 x14ac:dyDescent="0.25">
      <c r="A25" s="60" t="s">
        <v>306</v>
      </c>
      <c r="B25" s="485"/>
      <c r="C25" s="171">
        <v>44895</v>
      </c>
      <c r="D25" s="194" t="s">
        <v>132</v>
      </c>
      <c r="E25" s="177" t="s">
        <v>148</v>
      </c>
      <c r="F25" s="78" t="s">
        <v>129</v>
      </c>
      <c r="G25" s="79">
        <v>0</v>
      </c>
      <c r="H25" s="80" t="s">
        <v>0</v>
      </c>
      <c r="I25" s="132">
        <v>3</v>
      </c>
      <c r="J25" s="81" t="s">
        <v>3</v>
      </c>
      <c r="K25" s="52"/>
      <c r="L25" s="495" t="str">
        <f>IF(OR(Copa2022!F33="",G25=""),"",
IF(AND(Copa2022!F33=G25,Copa2022!H33=I25),Regras!$J$25,IF(Y25=Regras!F47,Regras!$J$26,0)))</f>
        <v/>
      </c>
      <c r="M25" s="495"/>
      <c r="N25" s="318"/>
      <c r="O25" s="104">
        <v>4</v>
      </c>
      <c r="P25" s="105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 x14ac:dyDescent="0.25">
      <c r="A26" s="60" t="s">
        <v>307</v>
      </c>
      <c r="B26" s="486"/>
      <c r="C26" s="173">
        <v>44895</v>
      </c>
      <c r="D26" s="195" t="s">
        <v>132</v>
      </c>
      <c r="E26" s="178" t="s">
        <v>164</v>
      </c>
      <c r="F26" s="90" t="s">
        <v>159</v>
      </c>
      <c r="G26" s="91">
        <v>0</v>
      </c>
      <c r="H26" s="92" t="s">
        <v>0</v>
      </c>
      <c r="I26" s="135">
        <v>2</v>
      </c>
      <c r="J26" s="93" t="s">
        <v>127</v>
      </c>
      <c r="K26" s="52"/>
      <c r="L26" s="495" t="str">
        <f>IF(OR(Copa2022!F34="",G26=""),"",
IF(AND(Copa2022!F34=G26,Copa2022!H34=I26),Regras!$J$25,IF(Y26=Regras!F48,Regras!$J$26,0)))</f>
        <v/>
      </c>
      <c r="M26" s="495"/>
      <c r="N26" s="318"/>
      <c r="O26" s="63"/>
      <c r="P26" s="100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 x14ac:dyDescent="0.25">
      <c r="A27" s="60" t="s">
        <v>308</v>
      </c>
      <c r="B27" s="48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75">
        <v>2</v>
      </c>
      <c r="H27" s="76" t="s">
        <v>0</v>
      </c>
      <c r="I27" s="131">
        <v>0</v>
      </c>
      <c r="J27" s="77" t="s">
        <v>8</v>
      </c>
      <c r="K27" s="52"/>
      <c r="L27" s="495" t="str">
        <f>IF(OR(Copa2022!F35="",G27=""),"",
IF(AND(Copa2022!F35=G27,Copa2022!H35=I27),Regras!$J$25,IF(Y27=Regras!F49,Regras!$J$26,0)))</f>
        <v/>
      </c>
      <c r="M27" s="495"/>
      <c r="N27" s="318"/>
      <c r="O27" s="502" t="s">
        <v>53</v>
      </c>
      <c r="P27" s="503"/>
      <c r="Q27" s="324" t="str">
        <f>IF(Copa2022!F40="","",IF(Copa2022!O36=Germano!P28,Regras!$J$27,0))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 x14ac:dyDescent="0.2">
      <c r="A28" s="60" t="s">
        <v>309</v>
      </c>
      <c r="B28" s="485"/>
      <c r="C28" s="171">
        <v>44888</v>
      </c>
      <c r="D28" s="194" t="s">
        <v>134</v>
      </c>
      <c r="E28" s="172" t="s">
        <v>157</v>
      </c>
      <c r="F28" s="78" t="s">
        <v>11</v>
      </c>
      <c r="G28" s="79">
        <v>1</v>
      </c>
      <c r="H28" s="80" t="s">
        <v>0</v>
      </c>
      <c r="I28" s="132">
        <v>0</v>
      </c>
      <c r="J28" s="81" t="s">
        <v>160</v>
      </c>
      <c r="K28" s="52"/>
      <c r="L28" s="495" t="str">
        <f>IF(OR(Copa2022!F36="",G28=""),"",
IF(AND(Copa2022!F36=G28,Copa2022!H36=I28),Regras!$J$25,IF(Y28=Regras!F50,Regras!$J$26,0)))</f>
        <v/>
      </c>
      <c r="M28" s="495"/>
      <c r="N28" s="318"/>
      <c r="O28" s="103">
        <v>1</v>
      </c>
      <c r="P28" s="100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 x14ac:dyDescent="0.25">
      <c r="A29" s="60" t="s">
        <v>310</v>
      </c>
      <c r="B29" s="485"/>
      <c r="C29" s="171">
        <v>44892</v>
      </c>
      <c r="D29" s="194" t="s">
        <v>133</v>
      </c>
      <c r="E29" s="172" t="s">
        <v>162</v>
      </c>
      <c r="F29" s="78" t="s">
        <v>8</v>
      </c>
      <c r="G29" s="79">
        <v>1</v>
      </c>
      <c r="H29" s="80" t="s">
        <v>0</v>
      </c>
      <c r="I29" s="132">
        <v>1</v>
      </c>
      <c r="J29" s="81" t="s">
        <v>160</v>
      </c>
      <c r="K29" s="52"/>
      <c r="L29" s="495" t="str">
        <f>IF(OR(Copa2022!F37="",G29=""),"",
IF(AND(Copa2022!F37=G29,Copa2022!H37=I29),Regras!$J$25,IF(Y29=Regras!F51,Regras!$J$26,0)))</f>
        <v/>
      </c>
      <c r="M29" s="495"/>
      <c r="N29" s="318"/>
      <c r="O29" s="106">
        <v>2</v>
      </c>
      <c r="P29" s="107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 x14ac:dyDescent="0.2">
      <c r="A30" s="60" t="s">
        <v>311</v>
      </c>
      <c r="B30" s="485"/>
      <c r="C30" s="171">
        <v>44892</v>
      </c>
      <c r="D30" s="194" t="s">
        <v>136</v>
      </c>
      <c r="E30" s="172" t="s">
        <v>161</v>
      </c>
      <c r="F30" s="78" t="s">
        <v>11</v>
      </c>
      <c r="G30" s="79">
        <v>1</v>
      </c>
      <c r="H30" s="80" t="s">
        <v>0</v>
      </c>
      <c r="I30" s="132">
        <v>2</v>
      </c>
      <c r="J30" s="81" t="s">
        <v>7</v>
      </c>
      <c r="K30" s="52"/>
      <c r="L30" s="495" t="str">
        <f>IF(OR(Copa2022!F38="",G30=""),"",
IF(AND(Copa2022!F38=G30,Copa2022!H38=I30),Regras!$J$25,IF(Y30=Regras!F52,Regras!$J$26,0)))</f>
        <v/>
      </c>
      <c r="M30" s="495"/>
      <c r="N30" s="318"/>
      <c r="O30" s="103">
        <v>3</v>
      </c>
      <c r="P30" s="100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 x14ac:dyDescent="0.25">
      <c r="A31" s="60" t="s">
        <v>312</v>
      </c>
      <c r="B31" s="485"/>
      <c r="C31" s="171">
        <v>44896</v>
      </c>
      <c r="D31" s="194" t="s">
        <v>136</v>
      </c>
      <c r="E31" s="172" t="s">
        <v>143</v>
      </c>
      <c r="F31" s="78" t="s">
        <v>8</v>
      </c>
      <c r="G31" s="79">
        <v>1</v>
      </c>
      <c r="H31" s="80" t="s">
        <v>0</v>
      </c>
      <c r="I31" s="132">
        <v>2</v>
      </c>
      <c r="J31" s="81" t="s">
        <v>11</v>
      </c>
      <c r="K31" s="52"/>
      <c r="L31" s="495" t="str">
        <f>IF(OR(Copa2022!F39="",G31=""),"",
IF(AND(Copa2022!F39=G31,Copa2022!H39=I31),Regras!$J$25,IF(Y31=Regras!F53,Regras!$J$26,0)))</f>
        <v/>
      </c>
      <c r="M31" s="495"/>
      <c r="N31" s="318"/>
      <c r="O31" s="104">
        <v>4</v>
      </c>
      <c r="P31" s="105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 x14ac:dyDescent="0.25">
      <c r="A32" s="60" t="s">
        <v>313</v>
      </c>
      <c r="B32" s="486"/>
      <c r="C32" s="173">
        <v>44896</v>
      </c>
      <c r="D32" s="195" t="s">
        <v>136</v>
      </c>
      <c r="E32" s="174" t="s">
        <v>161</v>
      </c>
      <c r="F32" s="86" t="s">
        <v>160</v>
      </c>
      <c r="G32" s="87">
        <v>0</v>
      </c>
      <c r="H32" s="88" t="s">
        <v>0</v>
      </c>
      <c r="I32" s="133">
        <v>3</v>
      </c>
      <c r="J32" s="89" t="s">
        <v>7</v>
      </c>
      <c r="K32" s="52"/>
      <c r="L32" s="495" t="str">
        <f>IF(OR(Copa2022!F40="",G32=""),"",
IF(AND(Copa2022!F40=G32,Copa2022!H40=I32),Regras!$J$25,IF(Y32=Regras!F54,Regras!$J$26,0)))</f>
        <v/>
      </c>
      <c r="M32" s="495"/>
      <c r="N32" s="318"/>
      <c r="O32" s="63"/>
      <c r="P32" s="100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 x14ac:dyDescent="0.25">
      <c r="A33" s="60" t="s">
        <v>314</v>
      </c>
      <c r="B33" s="48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83">
        <v>0</v>
      </c>
      <c r="H33" s="84" t="s">
        <v>0</v>
      </c>
      <c r="I33" s="134">
        <v>3</v>
      </c>
      <c r="J33" s="85" t="s">
        <v>70</v>
      </c>
      <c r="K33" s="52"/>
      <c r="L33" s="495" t="str">
        <f>IF(OR(Copa2022!F41="",G33=""),"",
IF(AND(Copa2022!F41=G33,Copa2022!H41=I33),Regras!$J$25,IF(Y33=Regras!F55,Regras!$J$26,0)))</f>
        <v/>
      </c>
      <c r="M33" s="495"/>
      <c r="N33" s="318"/>
      <c r="O33" s="502" t="s">
        <v>56</v>
      </c>
      <c r="P33" s="503"/>
      <c r="Q33" s="324" t="str">
        <f>IF(Copa2022!F46="","",IF(Copa2022!O42=Germano!P34,Regras!$J$27,0))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/>
      </c>
    </row>
    <row r="34" spans="1:25" s="60" customFormat="1" ht="35.1" customHeight="1" x14ac:dyDescent="0.2">
      <c r="A34" s="60" t="s">
        <v>315</v>
      </c>
      <c r="B34" s="485"/>
      <c r="C34" s="171">
        <v>44888</v>
      </c>
      <c r="D34" s="194" t="s">
        <v>136</v>
      </c>
      <c r="E34" s="177" t="s">
        <v>162</v>
      </c>
      <c r="F34" s="78" t="s">
        <v>104</v>
      </c>
      <c r="G34" s="79">
        <v>3</v>
      </c>
      <c r="H34" s="80" t="s">
        <v>0</v>
      </c>
      <c r="I34" s="132">
        <v>0</v>
      </c>
      <c r="J34" s="81" t="s">
        <v>150</v>
      </c>
      <c r="K34" s="52"/>
      <c r="L34" s="495" t="str">
        <f>IF(OR(Copa2022!F42="",G34=""),"",
IF(AND(Copa2022!F42=G34,Copa2022!H42=I34),Regras!$J$25,IF(Y34=Regras!F56,Regras!$J$26,0)))</f>
        <v/>
      </c>
      <c r="M34" s="495"/>
      <c r="N34" s="318"/>
      <c r="O34" s="103">
        <v>1</v>
      </c>
      <c r="P34" s="100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 x14ac:dyDescent="0.25">
      <c r="A35" s="60" t="s">
        <v>316</v>
      </c>
      <c r="B35" s="485"/>
      <c r="C35" s="171">
        <v>44892</v>
      </c>
      <c r="D35" s="194" t="s">
        <v>135</v>
      </c>
      <c r="E35" s="177" t="s">
        <v>157</v>
      </c>
      <c r="F35" s="78" t="s">
        <v>104</v>
      </c>
      <c r="G35" s="79">
        <v>2</v>
      </c>
      <c r="H35" s="80" t="s">
        <v>0</v>
      </c>
      <c r="I35" s="132">
        <v>0</v>
      </c>
      <c r="J35" s="81" t="s">
        <v>126</v>
      </c>
      <c r="K35" s="52"/>
      <c r="L35" s="495" t="str">
        <f>IF(OR(Copa2022!F43="",G35=""),"",
IF(AND(Copa2022!F43=G35,Copa2022!H43=I35),Regras!$J$25,IF(Y35=Regras!F57,Regras!$J$26,0)))</f>
        <v/>
      </c>
      <c r="M35" s="495"/>
      <c r="N35" s="318"/>
      <c r="O35" s="106">
        <v>2</v>
      </c>
      <c r="P35" s="107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 x14ac:dyDescent="0.2">
      <c r="A36" s="60" t="s">
        <v>317</v>
      </c>
      <c r="B36" s="485"/>
      <c r="C36" s="171">
        <v>44892</v>
      </c>
      <c r="D36" s="194" t="s">
        <v>134</v>
      </c>
      <c r="E36" s="177" t="s">
        <v>143</v>
      </c>
      <c r="F36" s="78" t="s">
        <v>70</v>
      </c>
      <c r="G36" s="79">
        <v>2</v>
      </c>
      <c r="H36" s="80" t="s">
        <v>0</v>
      </c>
      <c r="I36" s="132">
        <v>0</v>
      </c>
      <c r="J36" s="81" t="s">
        <v>150</v>
      </c>
      <c r="K36" s="52"/>
      <c r="L36" s="495" t="str">
        <f>IF(OR(Copa2022!F44="",G36=""),"",
IF(AND(Copa2022!F44=G36,Copa2022!H44=I36),Regras!$J$25,IF(Y36=Regras!F58,Regras!$J$26,0)))</f>
        <v/>
      </c>
      <c r="M36" s="495"/>
      <c r="N36" s="318"/>
      <c r="O36" s="103">
        <v>3</v>
      </c>
      <c r="P36" s="100" t="s">
        <v>126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 x14ac:dyDescent="0.25">
      <c r="A37" s="60" t="s">
        <v>318</v>
      </c>
      <c r="B37" s="485"/>
      <c r="C37" s="171">
        <v>44896</v>
      </c>
      <c r="D37" s="194" t="s">
        <v>132</v>
      </c>
      <c r="E37" s="177" t="s">
        <v>162</v>
      </c>
      <c r="F37" s="78" t="s">
        <v>70</v>
      </c>
      <c r="G37" s="79">
        <v>1</v>
      </c>
      <c r="H37" s="80" t="s">
        <v>0</v>
      </c>
      <c r="I37" s="132">
        <v>2</v>
      </c>
      <c r="J37" s="81" t="s">
        <v>104</v>
      </c>
      <c r="K37" s="52"/>
      <c r="L37" s="495" t="str">
        <f>IF(OR(Copa2022!F45="",G37=""),"",
IF(AND(Copa2022!F45=G37,Copa2022!H45=I37),Regras!$J$25,IF(Y37=Regras!F59,Regras!$J$26,0)))</f>
        <v/>
      </c>
      <c r="M37" s="495"/>
      <c r="N37" s="318"/>
      <c r="O37" s="104" t="s">
        <v>105</v>
      </c>
      <c r="P37" s="105" t="s">
        <v>150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 x14ac:dyDescent="0.25">
      <c r="A38" s="60" t="s">
        <v>319</v>
      </c>
      <c r="B38" s="486"/>
      <c r="C38" s="173">
        <v>44896</v>
      </c>
      <c r="D38" s="195" t="s">
        <v>132</v>
      </c>
      <c r="E38" s="178" t="s">
        <v>157</v>
      </c>
      <c r="F38" s="90" t="s">
        <v>150</v>
      </c>
      <c r="G38" s="91">
        <v>0</v>
      </c>
      <c r="H38" s="92" t="s">
        <v>0</v>
      </c>
      <c r="I38" s="135">
        <v>0</v>
      </c>
      <c r="J38" s="93" t="s">
        <v>126</v>
      </c>
      <c r="K38" s="52"/>
      <c r="L38" s="495" t="str">
        <f>IF(OR(Copa2022!F46="",G38=""),"",
IF(AND(Copa2022!F46=G38,Copa2022!H46=I38),Regras!$J$25,IF(Y38=Regras!F60,Regras!$J$26,0)))</f>
        <v/>
      </c>
      <c r="M38" s="495"/>
      <c r="N38" s="318"/>
      <c r="O38" s="63"/>
      <c r="P38" s="100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 x14ac:dyDescent="0.25">
      <c r="A39" s="60" t="s">
        <v>320</v>
      </c>
      <c r="B39" s="48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75">
        <v>1</v>
      </c>
      <c r="H39" s="76" t="s">
        <v>0</v>
      </c>
      <c r="I39" s="131">
        <v>0</v>
      </c>
      <c r="J39" s="77" t="s">
        <v>151</v>
      </c>
      <c r="K39" s="52"/>
      <c r="L39" s="495" t="str">
        <f>IF(OR(Copa2022!F47="",G39=""),"",
IF(AND(Copa2022!F47=G39,Copa2022!H47=I39),Regras!$J$25,IF(Y39=Regras!F61,Regras!$J$26,0)))</f>
        <v/>
      </c>
      <c r="M39" s="495"/>
      <c r="N39" s="318"/>
      <c r="O39" s="502" t="s">
        <v>58</v>
      </c>
      <c r="P39" s="503"/>
      <c r="Q39" s="324" t="str">
        <f>IF(Copa2022!F52="","",IF(Copa2022!O48=Germano!P40,Regras!$J$27,0))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 x14ac:dyDescent="0.2">
      <c r="A40" s="60" t="s">
        <v>321</v>
      </c>
      <c r="B40" s="485"/>
      <c r="C40" s="171">
        <v>44889</v>
      </c>
      <c r="D40" s="194" t="s">
        <v>136</v>
      </c>
      <c r="E40" s="172" t="s">
        <v>146</v>
      </c>
      <c r="F40" s="78" t="s">
        <v>10</v>
      </c>
      <c r="G40" s="79">
        <v>2</v>
      </c>
      <c r="H40" s="80" t="s">
        <v>0</v>
      </c>
      <c r="I40" s="132">
        <v>1</v>
      </c>
      <c r="J40" s="81" t="s">
        <v>128</v>
      </c>
      <c r="K40" s="52"/>
      <c r="L40" s="495" t="str">
        <f>IF(OR(Copa2022!F48="",G40=""),"",
IF(AND(Copa2022!F48=G40,Copa2022!H48=I40),Regras!$J$25,IF(Y40=Regras!F62,Regras!$J$26,0)))</f>
        <v/>
      </c>
      <c r="M40" s="495"/>
      <c r="N40" s="318"/>
      <c r="O40" s="111">
        <v>1</v>
      </c>
      <c r="P40" s="112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 x14ac:dyDescent="0.25">
      <c r="A41" s="60" t="s">
        <v>322</v>
      </c>
      <c r="B41" s="485"/>
      <c r="C41" s="171">
        <v>44893</v>
      </c>
      <c r="D41" s="194" t="s">
        <v>133</v>
      </c>
      <c r="E41" s="172" t="s">
        <v>164</v>
      </c>
      <c r="F41" s="78" t="s">
        <v>151</v>
      </c>
      <c r="G41" s="79">
        <v>0</v>
      </c>
      <c r="H41" s="80" t="s">
        <v>0</v>
      </c>
      <c r="I41" s="132">
        <v>1</v>
      </c>
      <c r="J41" s="81" t="s">
        <v>128</v>
      </c>
      <c r="K41" s="52"/>
      <c r="L41" s="495" t="str">
        <f>IF(OR(Copa2022!F49="",G41=""),"",
IF(AND(Copa2022!F49=G41,Copa2022!H49=I41),Regras!$J$25,IF(Y41=Regras!F63,Regras!$J$26,0)))</f>
        <v/>
      </c>
      <c r="M41" s="495"/>
      <c r="N41" s="318"/>
      <c r="O41" s="106">
        <v>2</v>
      </c>
      <c r="P41" s="107" t="s">
        <v>128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 x14ac:dyDescent="0.2">
      <c r="A42" s="60" t="s">
        <v>323</v>
      </c>
      <c r="B42" s="485"/>
      <c r="C42" s="171">
        <v>44893</v>
      </c>
      <c r="D42" s="194" t="s">
        <v>134</v>
      </c>
      <c r="E42" s="172" t="s">
        <v>163</v>
      </c>
      <c r="F42" s="78" t="s">
        <v>10</v>
      </c>
      <c r="G42" s="79">
        <v>1</v>
      </c>
      <c r="H42" s="80" t="s">
        <v>0</v>
      </c>
      <c r="I42" s="132">
        <v>0</v>
      </c>
      <c r="J42" s="81" t="s">
        <v>12</v>
      </c>
      <c r="K42" s="52"/>
      <c r="L42" s="495" t="str">
        <f>IF(OR(Copa2022!F50="",G42=""),"",
IF(AND(Copa2022!F50=G42,Copa2022!H50=I42),Regras!$J$25,IF(Y42=Regras!F64,Regras!$J$26,0)))</f>
        <v/>
      </c>
      <c r="M42" s="495"/>
      <c r="N42" s="318"/>
      <c r="O42" s="103">
        <v>3</v>
      </c>
      <c r="P42" s="100" t="s">
        <v>12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 x14ac:dyDescent="0.25">
      <c r="A43" s="60" t="s">
        <v>324</v>
      </c>
      <c r="B43" s="485"/>
      <c r="C43" s="171">
        <v>44897</v>
      </c>
      <c r="D43" s="194" t="s">
        <v>136</v>
      </c>
      <c r="E43" s="172" t="s">
        <v>146</v>
      </c>
      <c r="F43" s="78" t="s">
        <v>151</v>
      </c>
      <c r="G43" s="79">
        <v>0</v>
      </c>
      <c r="H43" s="80" t="s">
        <v>0</v>
      </c>
      <c r="I43" s="132">
        <v>3</v>
      </c>
      <c r="J43" s="81" t="s">
        <v>10</v>
      </c>
      <c r="K43" s="52"/>
      <c r="L43" s="495" t="str">
        <f>IF(OR(Copa2022!F51="",G43=""),"",
IF(AND(Copa2022!F51=G43,Copa2022!H51=I43),Regras!$J$25,IF(Y43=Regras!F65,Regras!$J$26,0)))</f>
        <v/>
      </c>
      <c r="M43" s="495"/>
      <c r="N43" s="318"/>
      <c r="O43" s="104">
        <v>4</v>
      </c>
      <c r="P43" s="105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 x14ac:dyDescent="0.25">
      <c r="A44" s="60" t="s">
        <v>325</v>
      </c>
      <c r="B44" s="486"/>
      <c r="C44" s="173">
        <v>44897</v>
      </c>
      <c r="D44" s="195" t="s">
        <v>136</v>
      </c>
      <c r="E44" s="174" t="s">
        <v>163</v>
      </c>
      <c r="F44" s="86" t="s">
        <v>128</v>
      </c>
      <c r="G44" s="87">
        <v>2</v>
      </c>
      <c r="H44" s="88" t="s">
        <v>0</v>
      </c>
      <c r="I44" s="133">
        <v>1</v>
      </c>
      <c r="J44" s="89" t="s">
        <v>12</v>
      </c>
      <c r="K44" s="52"/>
      <c r="L44" s="495" t="str">
        <f>IF(OR(Copa2022!F52="",G44=""),"",
IF(AND(Copa2022!F52=G44,Copa2022!H52=I44),Regras!$J$25,IF(Y44=Regras!F66,Regras!$J$26,0)))</f>
        <v/>
      </c>
      <c r="M44" s="495"/>
      <c r="N44" s="318"/>
      <c r="O44" s="63"/>
      <c r="P44" s="100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 x14ac:dyDescent="0.25">
      <c r="A45" s="60" t="s">
        <v>326</v>
      </c>
      <c r="B45" s="48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83">
        <v>1</v>
      </c>
      <c r="H45" s="84" t="s">
        <v>0</v>
      </c>
      <c r="I45" s="134">
        <v>0</v>
      </c>
      <c r="J45" s="85" t="s">
        <v>5</v>
      </c>
      <c r="K45" s="52"/>
      <c r="L45" s="495" t="str">
        <f>IF(OR(Copa2022!F53="",G45=""),"",
IF(AND(Copa2022!F53=G45,Copa2022!H53=I45),Regras!$J$25,IF(Y45=Regras!F67,Regras!$J$26,0)))</f>
        <v/>
      </c>
      <c r="M45" s="495"/>
      <c r="N45" s="318"/>
      <c r="O45" s="502" t="s">
        <v>59</v>
      </c>
      <c r="P45" s="503"/>
      <c r="Q45" s="324" t="str">
        <f>IF(Copa2022!F58="","",IF(Copa2022!O54=Germano!P46,Regras!$J$27,0))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 x14ac:dyDescent="0.2">
      <c r="A46" s="60" t="s">
        <v>327</v>
      </c>
      <c r="B46" s="485"/>
      <c r="C46" s="171">
        <v>44889</v>
      </c>
      <c r="D46" s="194" t="s">
        <v>134</v>
      </c>
      <c r="E46" s="177" t="s">
        <v>163</v>
      </c>
      <c r="F46" s="78" t="s">
        <v>9</v>
      </c>
      <c r="G46" s="79">
        <v>2</v>
      </c>
      <c r="H46" s="80" t="s">
        <v>0</v>
      </c>
      <c r="I46" s="132">
        <v>0</v>
      </c>
      <c r="J46" s="81" t="s">
        <v>152</v>
      </c>
      <c r="K46" s="52"/>
      <c r="L46" s="495" t="str">
        <f>IF(OR(Copa2022!F54="",G46=""),"",
IF(AND(Copa2022!F54=G46,Copa2022!H54=I46),Regras!$J$25,IF(Y46=Regras!F68,Regras!$J$26,0)))</f>
        <v/>
      </c>
      <c r="M46" s="495"/>
      <c r="N46" s="318"/>
      <c r="O46" s="103">
        <v>1</v>
      </c>
      <c r="P46" s="100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 x14ac:dyDescent="0.25">
      <c r="A47" s="60" t="s">
        <v>328</v>
      </c>
      <c r="B47" s="485"/>
      <c r="C47" s="171">
        <v>44893</v>
      </c>
      <c r="D47" s="194" t="s">
        <v>135</v>
      </c>
      <c r="E47" s="177" t="s">
        <v>148</v>
      </c>
      <c r="F47" s="78" t="s">
        <v>5</v>
      </c>
      <c r="G47" s="79">
        <v>1</v>
      </c>
      <c r="H47" s="80" t="s">
        <v>0</v>
      </c>
      <c r="I47" s="132">
        <v>2</v>
      </c>
      <c r="J47" s="81" t="s">
        <v>152</v>
      </c>
      <c r="K47" s="52"/>
      <c r="L47" s="495" t="str">
        <f>IF(OR(Copa2022!F55="",G47=""),"",
IF(AND(Copa2022!F55=G47,Copa2022!H55=I47),Regras!$J$25,IF(Y47=Regras!F69,Regras!$J$26,0)))</f>
        <v/>
      </c>
      <c r="M47" s="495"/>
      <c r="N47" s="318"/>
      <c r="O47" s="106">
        <v>2</v>
      </c>
      <c r="P47" s="107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 x14ac:dyDescent="0.2">
      <c r="A48" s="60" t="s">
        <v>329</v>
      </c>
      <c r="B48" s="485"/>
      <c r="C48" s="171">
        <v>44893</v>
      </c>
      <c r="D48" s="194" t="s">
        <v>136</v>
      </c>
      <c r="E48" s="177" t="s">
        <v>146</v>
      </c>
      <c r="F48" s="78" t="s">
        <v>9</v>
      </c>
      <c r="G48" s="79">
        <v>1</v>
      </c>
      <c r="H48" s="80" t="s">
        <v>0</v>
      </c>
      <c r="I48" s="132">
        <v>1</v>
      </c>
      <c r="J48" s="81" t="s">
        <v>2</v>
      </c>
      <c r="K48" s="52"/>
      <c r="L48" s="495" t="str">
        <f>IF(OR(Copa2022!F56="",G48=""),"",
IF(AND(Copa2022!F56=G48,Copa2022!H56=I48),Regras!$J$25,IF(Y48=Regras!F70,Regras!$J$26,0)))</f>
        <v/>
      </c>
      <c r="M48" s="495"/>
      <c r="N48" s="318"/>
      <c r="O48" s="103">
        <v>3</v>
      </c>
      <c r="P48" s="100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 x14ac:dyDescent="0.25">
      <c r="A49" s="60" t="s">
        <v>330</v>
      </c>
      <c r="B49" s="485"/>
      <c r="C49" s="171">
        <v>44897</v>
      </c>
      <c r="D49" s="194" t="s">
        <v>132</v>
      </c>
      <c r="E49" s="177" t="s">
        <v>148</v>
      </c>
      <c r="F49" s="78" t="s">
        <v>5</v>
      </c>
      <c r="G49" s="79">
        <v>0</v>
      </c>
      <c r="H49" s="80" t="s">
        <v>0</v>
      </c>
      <c r="I49" s="132">
        <v>1</v>
      </c>
      <c r="J49" s="81" t="s">
        <v>9</v>
      </c>
      <c r="K49" s="52"/>
      <c r="L49" s="495" t="str">
        <f>IF(OR(Copa2022!F57="",G49=""),"",
IF(AND(Copa2022!F57=G49,Copa2022!H57=I49),Regras!$J$25,IF(Y49=Regras!F71,Regras!$J$26,0)))</f>
        <v/>
      </c>
      <c r="M49" s="495"/>
      <c r="N49" s="318"/>
      <c r="O49" s="104">
        <v>4</v>
      </c>
      <c r="P49" s="105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 x14ac:dyDescent="0.25">
      <c r="A50" s="477" t="s">
        <v>331</v>
      </c>
      <c r="B50" s="486"/>
      <c r="C50" s="173">
        <v>44897</v>
      </c>
      <c r="D50" s="195" t="s">
        <v>132</v>
      </c>
      <c r="E50" s="178" t="s">
        <v>164</v>
      </c>
      <c r="F50" s="19" t="s">
        <v>152</v>
      </c>
      <c r="G50" s="136">
        <v>0</v>
      </c>
      <c r="H50" s="137" t="s">
        <v>0</v>
      </c>
      <c r="I50" s="138">
        <v>1</v>
      </c>
      <c r="J50" s="130" t="s">
        <v>2</v>
      </c>
      <c r="K50" s="52"/>
      <c r="L50" s="495" t="str">
        <f>IF(OR(Copa2022!F58="",G50=""),"",
IF(AND(Copa2022!F58=G50,Copa2022!H58=I50),Regras!$J$25,IF(Y50=Regras!F72,Regras!$J$26,0)))</f>
        <v/>
      </c>
      <c r="M50" s="495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x14ac:dyDescent="0.2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 x14ac:dyDescent="0.25">
      <c r="B52" s="44"/>
      <c r="C52" s="506" t="s">
        <v>124</v>
      </c>
      <c r="D52" s="507"/>
      <c r="E52" s="507"/>
      <c r="F52" s="507"/>
      <c r="G52" s="507"/>
      <c r="H52" s="507"/>
      <c r="I52" s="507"/>
      <c r="J52" s="507"/>
      <c r="K52" s="507"/>
      <c r="L52" s="507"/>
      <c r="M52" s="508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 x14ac:dyDescent="0.25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4" t="s">
        <v>78</v>
      </c>
      <c r="M53" s="505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 x14ac:dyDescent="0.25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 x14ac:dyDescent="0.25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 x14ac:dyDescent="0.25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 x14ac:dyDescent="0.25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 x14ac:dyDescent="0.25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 x14ac:dyDescent="0.25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 x14ac:dyDescent="0.25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 x14ac:dyDescent="0.25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 x14ac:dyDescent="0.25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23" t="s">
        <v>78</v>
      </c>
      <c r="M62" s="524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 x14ac:dyDescent="0.25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 x14ac:dyDescent="0.25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 x14ac:dyDescent="0.25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 x14ac:dyDescent="0.25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 x14ac:dyDescent="0.25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20" t="s">
        <v>78</v>
      </c>
      <c r="M67" s="522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 x14ac:dyDescent="0.25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 x14ac:dyDescent="0.25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 x14ac:dyDescent="0.25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20" t="s">
        <v>78</v>
      </c>
      <c r="M70" s="522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 x14ac:dyDescent="0.25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 x14ac:dyDescent="0.25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20" t="s">
        <v>78</v>
      </c>
      <c r="M72" s="521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 x14ac:dyDescent="0.25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 x14ac:dyDescent="0.2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 x14ac:dyDescent="0.25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 x14ac:dyDescent="0.25">
      <c r="C76" s="2"/>
      <c r="D76" s="2"/>
      <c r="E76" s="125" t="s">
        <v>83</v>
      </c>
      <c r="F76" s="511">
        <f>'2ª Fase'!E40:I40</f>
        <v>0</v>
      </c>
      <c r="G76" s="511"/>
      <c r="H76" s="511"/>
      <c r="I76" s="511"/>
      <c r="J76" s="512"/>
      <c r="K76" s="50"/>
      <c r="L76" s="1"/>
      <c r="M76" s="1"/>
    </row>
    <row r="77" spans="1:25" ht="15" customHeight="1" x14ac:dyDescent="0.2">
      <c r="C77" s="2"/>
      <c r="D77" s="2"/>
      <c r="E77" s="126" t="s">
        <v>84</v>
      </c>
      <c r="F77" s="513">
        <f>'2ª Fase'!E41:I41</f>
        <v>0</v>
      </c>
      <c r="G77" s="513"/>
      <c r="H77" s="513"/>
      <c r="I77" s="513"/>
      <c r="J77" s="514"/>
      <c r="K77" s="50"/>
      <c r="L77" s="1"/>
      <c r="M77" s="1"/>
    </row>
    <row r="78" spans="1:25" ht="15" customHeight="1" x14ac:dyDescent="0.2">
      <c r="C78" s="2"/>
      <c r="D78" s="2"/>
      <c r="E78" s="127" t="s">
        <v>102</v>
      </c>
      <c r="F78" s="515">
        <f>'2ª Fase'!E42:I42</f>
        <v>0</v>
      </c>
      <c r="G78" s="515"/>
      <c r="H78" s="515"/>
      <c r="I78" s="515"/>
      <c r="J78" s="516"/>
      <c r="K78" s="50"/>
      <c r="L78" s="1"/>
      <c r="M78" s="1"/>
    </row>
    <row r="79" spans="1:25" ht="15" customHeight="1" thickBot="1" x14ac:dyDescent="0.25">
      <c r="C79" s="2"/>
      <c r="D79" s="2"/>
      <c r="E79" s="128" t="s">
        <v>103</v>
      </c>
      <c r="F79" s="517">
        <f>'2ª Fase'!E43:I43</f>
        <v>0</v>
      </c>
      <c r="G79" s="517"/>
      <c r="H79" s="517"/>
      <c r="I79" s="517"/>
      <c r="J79" s="518"/>
      <c r="K79" s="50"/>
      <c r="L79" s="1"/>
      <c r="M79" s="1"/>
    </row>
    <row r="80" spans="1:25" ht="15" hidden="1" customHeight="1" x14ac:dyDescent="0.2">
      <c r="C80" s="2"/>
      <c r="D80" s="2"/>
      <c r="E80" s="192"/>
      <c r="F80" s="509"/>
      <c r="G80" s="509"/>
      <c r="H80" s="509"/>
      <c r="I80" s="509"/>
      <c r="J80" s="510"/>
      <c r="K80" s="50"/>
      <c r="L80" s="129"/>
      <c r="M80" s="1"/>
    </row>
    <row r="81" spans="3:13" ht="15.75" x14ac:dyDescent="0.2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 x14ac:dyDescent="0.2"/>
    <row r="90" spans="3:13" ht="15.75" customHeight="1" x14ac:dyDescent="0.2"/>
    <row r="91" spans="3:13" ht="15.75" customHeight="1" x14ac:dyDescent="0.2"/>
    <row r="92" spans="3:13" ht="15.75" customHeight="1" x14ac:dyDescent="0.2"/>
    <row r="93" spans="3:13" ht="15.75" customHeight="1" x14ac:dyDescent="0.2"/>
    <row r="94" spans="3:13" ht="15.75" customHeight="1" x14ac:dyDescent="0.2"/>
    <row r="95" spans="3:13" ht="15.75" customHeight="1" x14ac:dyDescent="0.2"/>
    <row r="96" spans="3:13" ht="15.75" customHeight="1" x14ac:dyDescent="0.2"/>
    <row r="117" spans="2:25" s="9" customFormat="1" ht="15.75" hidden="1" x14ac:dyDescent="0.2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F76:J76"/>
    <mergeCell ref="F77:J77"/>
    <mergeCell ref="F78:J78"/>
    <mergeCell ref="F79:J79"/>
    <mergeCell ref="F80:J80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B39:B44"/>
    <mergeCell ref="L39:M39"/>
    <mergeCell ref="O39:P39"/>
    <mergeCell ref="L40:M40"/>
    <mergeCell ref="L41:M41"/>
    <mergeCell ref="L42:M42"/>
    <mergeCell ref="L43:M43"/>
    <mergeCell ref="L44:M44"/>
    <mergeCell ref="B33:B38"/>
    <mergeCell ref="L33:M33"/>
    <mergeCell ref="O33:P33"/>
    <mergeCell ref="L34:M34"/>
    <mergeCell ref="L35:M35"/>
    <mergeCell ref="L36:M36"/>
    <mergeCell ref="L37:M37"/>
    <mergeCell ref="L38:M38"/>
    <mergeCell ref="B27:B32"/>
    <mergeCell ref="L27:M27"/>
    <mergeCell ref="O27:P27"/>
    <mergeCell ref="L28:M28"/>
    <mergeCell ref="L29:M29"/>
    <mergeCell ref="L30:M30"/>
    <mergeCell ref="L31:M31"/>
    <mergeCell ref="L32:M32"/>
    <mergeCell ref="B21:B26"/>
    <mergeCell ref="L21:M21"/>
    <mergeCell ref="O21:P21"/>
    <mergeCell ref="L22:M22"/>
    <mergeCell ref="L23:M23"/>
    <mergeCell ref="L24:M24"/>
    <mergeCell ref="L25:M25"/>
    <mergeCell ref="L26:M26"/>
    <mergeCell ref="B15:B20"/>
    <mergeCell ref="L15:M15"/>
    <mergeCell ref="O15:P15"/>
    <mergeCell ref="L16:M16"/>
    <mergeCell ref="L17:M17"/>
    <mergeCell ref="L18:M18"/>
    <mergeCell ref="L19:M19"/>
    <mergeCell ref="L20:M20"/>
    <mergeCell ref="B9:B14"/>
    <mergeCell ref="L9:M9"/>
    <mergeCell ref="O9:P9"/>
    <mergeCell ref="L10:M10"/>
    <mergeCell ref="L11:M11"/>
    <mergeCell ref="L12:M12"/>
    <mergeCell ref="L13:M13"/>
    <mergeCell ref="L14:M14"/>
    <mergeCell ref="B3:B8"/>
    <mergeCell ref="L3:M3"/>
    <mergeCell ref="O3:P3"/>
    <mergeCell ref="L4:M4"/>
    <mergeCell ref="L5:M5"/>
    <mergeCell ref="L6:M6"/>
    <mergeCell ref="L7:M7"/>
    <mergeCell ref="L8:M8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626" priority="51" stopIfTrue="1" operator="equal">
      <formula>#REF!</formula>
    </cfRule>
  </conditionalFormatting>
  <conditionalFormatting sqref="M54:N54">
    <cfRule type="expression" dxfId="625" priority="50">
      <formula>$H$14="penaltis"</formula>
    </cfRule>
  </conditionalFormatting>
  <conditionalFormatting sqref="L55:N55">
    <cfRule type="expression" dxfId="624" priority="49">
      <formula>$H$15="penaltis"</formula>
    </cfRule>
  </conditionalFormatting>
  <conditionalFormatting sqref="L56:N56">
    <cfRule type="expression" dxfId="623" priority="48">
      <formula>$H$16="penaltis"</formula>
    </cfRule>
  </conditionalFormatting>
  <conditionalFormatting sqref="L57:N57">
    <cfRule type="expression" dxfId="622" priority="47">
      <formula>$H$17="penaltis"</formula>
    </cfRule>
  </conditionalFormatting>
  <conditionalFormatting sqref="L58:N58">
    <cfRule type="expression" dxfId="621" priority="46">
      <formula>$H$18="penaltis"</formula>
    </cfRule>
  </conditionalFormatting>
  <conditionalFormatting sqref="L59:N59">
    <cfRule type="expression" dxfId="620" priority="45">
      <formula>$H$19="penaltis"</formula>
    </cfRule>
  </conditionalFormatting>
  <conditionalFormatting sqref="L60:N60">
    <cfRule type="expression" dxfId="619" priority="44">
      <formula>$H$20="penaltis"</formula>
    </cfRule>
  </conditionalFormatting>
  <conditionalFormatting sqref="L61:N61">
    <cfRule type="expression" dxfId="618" priority="43">
      <formula>$H$21="penaltis"</formula>
    </cfRule>
  </conditionalFormatting>
  <conditionalFormatting sqref="N63">
    <cfRule type="expression" dxfId="617" priority="42">
      <formula>$H$23="penaltis"</formula>
    </cfRule>
  </conditionalFormatting>
  <conditionalFormatting sqref="N64">
    <cfRule type="expression" dxfId="616" priority="41" stopIfTrue="1">
      <formula>$H$24="penaltis"</formula>
    </cfRule>
  </conditionalFormatting>
  <conditionalFormatting sqref="N65">
    <cfRule type="expression" dxfId="615" priority="40" stopIfTrue="1">
      <formula>$H$25="penaltis"</formula>
    </cfRule>
  </conditionalFormatting>
  <conditionalFormatting sqref="N66">
    <cfRule type="expression" dxfId="614" priority="39" stopIfTrue="1">
      <formula>$H$26="penaltis"</formula>
    </cfRule>
  </conditionalFormatting>
  <conditionalFormatting sqref="N68">
    <cfRule type="expression" dxfId="613" priority="38" stopIfTrue="1">
      <formula>$H$28="penaltis"</formula>
    </cfRule>
  </conditionalFormatting>
  <conditionalFormatting sqref="N69">
    <cfRule type="expression" dxfId="612" priority="37" stopIfTrue="1">
      <formula>$H$29="penaltis"</formula>
    </cfRule>
  </conditionalFormatting>
  <conditionalFormatting sqref="N71">
    <cfRule type="expression" dxfId="611" priority="36" stopIfTrue="1">
      <formula>$H$31="penaltis"</formula>
    </cfRule>
  </conditionalFormatting>
  <conditionalFormatting sqref="N73">
    <cfRule type="expression" dxfId="610" priority="35" stopIfTrue="1">
      <formula>$H$33="penaltis"</formula>
    </cfRule>
  </conditionalFormatting>
  <conditionalFormatting sqref="L54:M54">
    <cfRule type="expression" dxfId="609" priority="34" stopIfTrue="1">
      <formula>$K$54="penaltis"</formula>
    </cfRule>
  </conditionalFormatting>
  <conditionalFormatting sqref="L55:M55">
    <cfRule type="expression" dxfId="608" priority="33" stopIfTrue="1">
      <formula>$K$55="penaltis"</formula>
    </cfRule>
  </conditionalFormatting>
  <conditionalFormatting sqref="L56:M56">
    <cfRule type="expression" dxfId="607" priority="32" stopIfTrue="1">
      <formula>$K$56="penaltis"</formula>
    </cfRule>
  </conditionalFormatting>
  <conditionalFormatting sqref="L57:M57">
    <cfRule type="expression" dxfId="606" priority="31" stopIfTrue="1">
      <formula>$K$57="penaltis"</formula>
    </cfRule>
  </conditionalFormatting>
  <conditionalFormatting sqref="L58:M58">
    <cfRule type="expression" dxfId="605" priority="30" stopIfTrue="1">
      <formula>$K$58="penaltis"</formula>
    </cfRule>
  </conditionalFormatting>
  <conditionalFormatting sqref="L59:M59">
    <cfRule type="expression" dxfId="604" priority="29" stopIfTrue="1">
      <formula>$K$59="penaltis"</formula>
    </cfRule>
  </conditionalFormatting>
  <conditionalFormatting sqref="L60:M60">
    <cfRule type="expression" dxfId="603" priority="28" stopIfTrue="1">
      <formula>$K$60="penaltis"</formula>
    </cfRule>
  </conditionalFormatting>
  <conditionalFormatting sqref="L61:M61">
    <cfRule type="expression" dxfId="602" priority="27" stopIfTrue="1">
      <formula>$K$61="penaltis"</formula>
    </cfRule>
  </conditionalFormatting>
  <conditionalFormatting sqref="L63:M63">
    <cfRule type="expression" dxfId="601" priority="26">
      <formula>$K$63="penaltis"</formula>
    </cfRule>
  </conditionalFormatting>
  <conditionalFormatting sqref="L64:M64">
    <cfRule type="expression" dxfId="600" priority="25">
      <formula>$K$64="penaltis"</formula>
    </cfRule>
  </conditionalFormatting>
  <conditionalFormatting sqref="L65:M65">
    <cfRule type="expression" dxfId="599" priority="24">
      <formula>$K$65="penaltis"</formula>
    </cfRule>
  </conditionalFormatting>
  <conditionalFormatting sqref="L66:M66">
    <cfRule type="expression" dxfId="598" priority="23">
      <formula>$K$66="penaltis"</formula>
    </cfRule>
  </conditionalFormatting>
  <conditionalFormatting sqref="L68:M68">
    <cfRule type="expression" dxfId="597" priority="22">
      <formula>$K$68="penaltis"</formula>
    </cfRule>
  </conditionalFormatting>
  <conditionalFormatting sqref="L69:M69">
    <cfRule type="expression" dxfId="596" priority="21">
      <formula>$K$69="penaltis"</formula>
    </cfRule>
  </conditionalFormatting>
  <conditionalFormatting sqref="L71:M71">
    <cfRule type="expression" dxfId="595" priority="20">
      <formula>$K$71="penaltis"</formula>
    </cfRule>
  </conditionalFormatting>
  <conditionalFormatting sqref="L73:M73">
    <cfRule type="expression" dxfId="594" priority="19">
      <formula>$K$73="penaltis"</formula>
    </cfRule>
  </conditionalFormatting>
  <conditionalFormatting sqref="Q4:X5">
    <cfRule type="expression" dxfId="593" priority="18">
      <formula>$R$8=12</formula>
    </cfRule>
  </conditionalFormatting>
  <conditionalFormatting sqref="Q10:X11">
    <cfRule type="expression" dxfId="592" priority="17">
      <formula>$R$14=12</formula>
    </cfRule>
  </conditionalFormatting>
  <conditionalFormatting sqref="Q16:X17">
    <cfRule type="expression" dxfId="591" priority="16">
      <formula>$R$20=12</formula>
    </cfRule>
  </conditionalFormatting>
  <conditionalFormatting sqref="Q22:X23">
    <cfRule type="expression" dxfId="590" priority="15">
      <formula>$R$26=12</formula>
    </cfRule>
  </conditionalFormatting>
  <conditionalFormatting sqref="Q28:X29">
    <cfRule type="expression" dxfId="589" priority="14">
      <formula>$R$32=12</formula>
    </cfRule>
  </conditionalFormatting>
  <conditionalFormatting sqref="Q34:X35">
    <cfRule type="expression" dxfId="588" priority="13">
      <formula>$R$38=12</formula>
    </cfRule>
  </conditionalFormatting>
  <conditionalFormatting sqref="Q40:X41">
    <cfRule type="expression" dxfId="587" priority="12">
      <formula>$R$44=12</formula>
    </cfRule>
  </conditionalFormatting>
  <conditionalFormatting sqref="Q46:X47">
    <cfRule type="expression" dxfId="586" priority="11">
      <formula>$R$50=12</formula>
    </cfRule>
  </conditionalFormatting>
  <conditionalFormatting sqref="F62:J73 B45 B9 B15 B21 B27 B33 B3 F3:F50 J3:J50">
    <cfRule type="cellIs" dxfId="585" priority="52" stopIfTrue="1" operator="equal">
      <formula>#REF!</formula>
    </cfRule>
  </conditionalFormatting>
  <conditionalFormatting sqref="B39">
    <cfRule type="cellIs" dxfId="584" priority="10" stopIfTrue="1" operator="equal">
      <formula>#REF!</formula>
    </cfRule>
  </conditionalFormatting>
  <conditionalFormatting sqref="F54:J61">
    <cfRule type="cellIs" dxfId="583" priority="9" stopIfTrue="1" operator="equal">
      <formula>$Z$7</formula>
    </cfRule>
  </conditionalFormatting>
  <conditionalFormatting sqref="O4:P5">
    <cfRule type="expression" dxfId="582" priority="8">
      <formula>$R$16=12</formula>
    </cfRule>
  </conditionalFormatting>
  <conditionalFormatting sqref="O10:P11">
    <cfRule type="expression" dxfId="581" priority="7">
      <formula>$R$22=12</formula>
    </cfRule>
  </conditionalFormatting>
  <conditionalFormatting sqref="O16:P17">
    <cfRule type="expression" dxfId="580" priority="6">
      <formula>$R$28=12</formula>
    </cfRule>
  </conditionalFormatting>
  <conditionalFormatting sqref="O22:P23">
    <cfRule type="expression" dxfId="579" priority="5">
      <formula>$R$34=12</formula>
    </cfRule>
  </conditionalFormatting>
  <conditionalFormatting sqref="O28:P29">
    <cfRule type="expression" dxfId="578" priority="4">
      <formula>$R$40=12</formula>
    </cfRule>
  </conditionalFormatting>
  <conditionalFormatting sqref="O34:P35">
    <cfRule type="expression" dxfId="577" priority="3">
      <formula>$R$46=12</formula>
    </cfRule>
  </conditionalFormatting>
  <conditionalFormatting sqref="O40:P41">
    <cfRule type="expression" dxfId="576" priority="2">
      <formula>$R$52=12</formula>
    </cfRule>
  </conditionalFormatting>
  <conditionalFormatting sqref="O46:P47">
    <cfRule type="expression" dxfId="575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 xr:uid="{00000000-0002-0000-0900-000000000000}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HW117"/>
  <sheetViews>
    <sheetView topLeftCell="A17" workbookViewId="0">
      <selection activeCell="F3" sqref="F3:J50"/>
    </sheetView>
  </sheetViews>
  <sheetFormatPr defaultColWidth="0" defaultRowHeight="0" customHeight="1" zeroHeight="1" x14ac:dyDescent="0.2"/>
  <cols>
    <col min="1" max="1" width="6.3203125" customWidth="1"/>
    <col min="2" max="2" width="6.05078125" style="5" bestFit="1" customWidth="1"/>
    <col min="3" max="3" width="9.81640625" style="10" bestFit="1" customWidth="1"/>
    <col min="4" max="4" width="5.24609375" style="10" bestFit="1" customWidth="1"/>
    <col min="5" max="5" width="17.75390625" style="10" bestFit="1" customWidth="1"/>
    <col min="6" max="6" width="25.69140625" style="11" customWidth="1"/>
    <col min="7" max="7" width="2.6875" style="42" customWidth="1"/>
    <col min="8" max="8" width="2.6875" customWidth="1"/>
    <col min="9" max="9" width="2.6875" style="42" customWidth="1"/>
    <col min="10" max="10" width="25.69140625" style="12" customWidth="1"/>
    <col min="11" max="11" width="13.31640625" style="51" hidden="1" customWidth="1"/>
    <col min="12" max="13" width="3.2265625" customWidth="1"/>
    <col min="14" max="14" width="2.82421875" style="1" customWidth="1"/>
    <col min="15" max="15" width="2.015625" style="109" bestFit="1" customWidth="1"/>
    <col min="16" max="16" width="26.09765625" style="113" customWidth="1"/>
    <col min="17" max="17" width="4.70703125" style="322" customWidth="1"/>
    <col min="18" max="18" width="3.765625" style="322" customWidth="1"/>
    <col min="19" max="19" width="1.8828125" style="322" customWidth="1"/>
    <col min="20" max="20" width="2.28515625" style="322" customWidth="1"/>
    <col min="21" max="21" width="3.765625" style="322" customWidth="1"/>
    <col min="22" max="22" width="2.015625" style="322" customWidth="1"/>
    <col min="23" max="24" width="3.765625" style="322" hidden="1" customWidth="1"/>
    <col min="25" max="25" width="12.9140625" style="1" customWidth="1"/>
    <col min="26" max="36" width="9.14453125" hidden="1" customWidth="1"/>
    <col min="37" max="37" width="8.47265625" hidden="1" customWidth="1"/>
    <col min="38" max="38" width="8.7421875" hidden="1" customWidth="1"/>
    <col min="39" max="39" width="10.0859375" hidden="1" customWidth="1"/>
    <col min="40" max="230" width="9.14453125" hidden="1" customWidth="1"/>
    <col min="231" max="231" width="7.26171875" hidden="1" customWidth="1"/>
    <col min="232" max="16384" width="9.14453125" hidden="1"/>
  </cols>
  <sheetData>
    <row r="1" spans="1:25" s="58" customFormat="1" ht="15" customHeight="1" x14ac:dyDescent="0.2">
      <c r="B1" s="496" t="s">
        <v>94</v>
      </c>
      <c r="C1" s="498" t="s">
        <v>95</v>
      </c>
      <c r="D1" s="498" t="s">
        <v>74</v>
      </c>
      <c r="E1" s="500" t="s">
        <v>75</v>
      </c>
      <c r="F1" s="487" t="s">
        <v>96</v>
      </c>
      <c r="G1" s="488"/>
      <c r="H1" s="488"/>
      <c r="I1" s="488"/>
      <c r="J1" s="489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 x14ac:dyDescent="0.25">
      <c r="B2" s="497"/>
      <c r="C2" s="499"/>
      <c r="D2" s="499"/>
      <c r="E2" s="501"/>
      <c r="F2" s="490"/>
      <c r="G2" s="491"/>
      <c r="H2" s="491"/>
      <c r="I2" s="491"/>
      <c r="J2" s="492"/>
      <c r="K2" s="51"/>
      <c r="L2" s="493"/>
      <c r="M2" s="494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 x14ac:dyDescent="0.25">
      <c r="A3" s="60" t="s">
        <v>284</v>
      </c>
      <c r="B3" s="48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26">
        <v>0</v>
      </c>
      <c r="H3" s="327" t="s">
        <v>0</v>
      </c>
      <c r="I3" s="336">
        <v>1</v>
      </c>
      <c r="J3" s="77" t="s">
        <v>142</v>
      </c>
      <c r="K3" s="52"/>
      <c r="L3" s="495">
        <f>IF(OR(Copa2022!F11="",G3=""),"",
IF(AND(Copa2022!F11=G3,Copa2022!H11=I3),Regras!$J$25,IF(Y3=Regras!F25,Regras!$J$26,0)))</f>
        <v>5</v>
      </c>
      <c r="M3" s="495"/>
      <c r="N3" s="318"/>
      <c r="O3" s="502" t="s">
        <v>220</v>
      </c>
      <c r="P3" s="526"/>
      <c r="Q3" s="324" t="str">
        <f>IF(Copa2022!F16="","",IF(Copa2022!O12=Albenice!P4,Regras!$J$27,0))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 x14ac:dyDescent="0.2">
      <c r="A4" s="60" t="s">
        <v>285</v>
      </c>
      <c r="B4" s="485"/>
      <c r="C4" s="171">
        <v>44886</v>
      </c>
      <c r="D4" s="194" t="s">
        <v>134</v>
      </c>
      <c r="E4" s="172" t="s">
        <v>157</v>
      </c>
      <c r="F4" s="78" t="s">
        <v>131</v>
      </c>
      <c r="G4" s="328">
        <v>1</v>
      </c>
      <c r="H4" s="329" t="s">
        <v>0</v>
      </c>
      <c r="I4" s="337">
        <v>2</v>
      </c>
      <c r="J4" s="81" t="s">
        <v>140</v>
      </c>
      <c r="K4" s="52"/>
      <c r="L4" s="495">
        <f>IF(OR(Copa2022!F12="",G4=""),"",
IF(AND(Copa2022!F12=G4,Copa2022!H12=I4),Regras!$J$25,IF(Y4=Regras!F26,Regras!$J$26,0)))</f>
        <v>5</v>
      </c>
      <c r="M4" s="495"/>
      <c r="N4" s="318"/>
      <c r="O4" s="346">
        <v>1</v>
      </c>
      <c r="P4" s="345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 x14ac:dyDescent="0.25">
      <c r="A5" s="60" t="s">
        <v>286</v>
      </c>
      <c r="B5" s="485"/>
      <c r="C5" s="171">
        <v>44890</v>
      </c>
      <c r="D5" s="194" t="s">
        <v>135</v>
      </c>
      <c r="E5" s="172" t="s">
        <v>157</v>
      </c>
      <c r="F5" s="78" t="s">
        <v>141</v>
      </c>
      <c r="G5" s="328">
        <v>0</v>
      </c>
      <c r="H5" s="329" t="s">
        <v>0</v>
      </c>
      <c r="I5" s="337">
        <v>1</v>
      </c>
      <c r="J5" s="81" t="s">
        <v>131</v>
      </c>
      <c r="K5" s="52"/>
      <c r="L5" s="495" t="str">
        <f>IF(OR(Copa2022!F13="",G5=""),"",
IF(AND(Copa2022!F13=G5,Copa2022!H13=I5),Regras!$J$25,IF(Y5=Regras!F27,Regras!$J$26,0)))</f>
        <v/>
      </c>
      <c r="M5" s="495"/>
      <c r="N5" s="318"/>
      <c r="O5" s="349">
        <v>2</v>
      </c>
      <c r="P5" s="350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 x14ac:dyDescent="0.2">
      <c r="A6" s="60" t="s">
        <v>287</v>
      </c>
      <c r="B6" s="485"/>
      <c r="C6" s="171">
        <v>44890</v>
      </c>
      <c r="D6" s="194" t="s">
        <v>134</v>
      </c>
      <c r="E6" s="172" t="s">
        <v>143</v>
      </c>
      <c r="F6" s="78" t="s">
        <v>140</v>
      </c>
      <c r="G6" s="328">
        <v>2</v>
      </c>
      <c r="H6" s="329" t="s">
        <v>0</v>
      </c>
      <c r="I6" s="337">
        <v>0</v>
      </c>
      <c r="J6" s="81" t="s">
        <v>142</v>
      </c>
      <c r="K6" s="52"/>
      <c r="L6" s="495" t="str">
        <f>IF(OR(Copa2022!F14="",G6=""),"",
IF(AND(Copa2022!F14=G6,Copa2022!H14=I6),Regras!$J$25,IF(Y6=Regras!F28,Regras!$J$26,0)))</f>
        <v/>
      </c>
      <c r="M6" s="495"/>
      <c r="N6" s="318"/>
      <c r="O6" s="346">
        <v>3</v>
      </c>
      <c r="P6" s="345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 x14ac:dyDescent="0.25">
      <c r="A7" s="60" t="s">
        <v>288</v>
      </c>
      <c r="B7" s="485"/>
      <c r="C7" s="171">
        <v>44894</v>
      </c>
      <c r="D7" s="194" t="s">
        <v>132</v>
      </c>
      <c r="E7" s="172" t="s">
        <v>161</v>
      </c>
      <c r="F7" s="78" t="s">
        <v>140</v>
      </c>
      <c r="G7" s="328">
        <v>3</v>
      </c>
      <c r="H7" s="329" t="s">
        <v>0</v>
      </c>
      <c r="I7" s="337">
        <v>0</v>
      </c>
      <c r="J7" s="81" t="s">
        <v>141</v>
      </c>
      <c r="K7" s="52"/>
      <c r="L7" s="495" t="str">
        <f>IF(OR(Copa2022!F15="",G7=""),"",
IF(AND(Copa2022!F15=G7,Copa2022!H15=I7),Regras!$J$25,IF(Y7=Regras!F29,Regras!$J$26,0)))</f>
        <v/>
      </c>
      <c r="M7" s="495"/>
      <c r="N7" s="318"/>
      <c r="O7" s="347">
        <v>4</v>
      </c>
      <c r="P7" s="348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 x14ac:dyDescent="0.25">
      <c r="A8" s="60" t="s">
        <v>289</v>
      </c>
      <c r="B8" s="486"/>
      <c r="C8" s="173">
        <v>44590</v>
      </c>
      <c r="D8" s="195" t="s">
        <v>132</v>
      </c>
      <c r="E8" s="174" t="s">
        <v>143</v>
      </c>
      <c r="F8" s="86" t="s">
        <v>142</v>
      </c>
      <c r="G8" s="332">
        <v>0</v>
      </c>
      <c r="H8" s="333" t="s">
        <v>0</v>
      </c>
      <c r="I8" s="338">
        <v>1</v>
      </c>
      <c r="J8" s="89" t="s">
        <v>131</v>
      </c>
      <c r="K8" s="52"/>
      <c r="L8" s="495" t="str">
        <f>IF(OR(Copa2022!F16="",G8=""),"",
IF(AND(Copa2022!F16=G8,Copa2022!H16=I8),Regras!$J$25,IF(Y8=Regras!F30,Regras!$J$26,0)))</f>
        <v/>
      </c>
      <c r="M8" s="495"/>
      <c r="N8" s="318"/>
      <c r="O8" s="353"/>
      <c r="P8" s="354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 x14ac:dyDescent="0.25">
      <c r="A9" s="60" t="s">
        <v>290</v>
      </c>
      <c r="B9" s="48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30">
        <v>2</v>
      </c>
      <c r="H9" s="331" t="s">
        <v>0</v>
      </c>
      <c r="I9" s="339">
        <v>1</v>
      </c>
      <c r="J9" s="85" t="s">
        <v>123</v>
      </c>
      <c r="K9" s="52"/>
      <c r="L9" s="495">
        <f>IF(OR(Copa2022!F17="",G9=""),"",
IF(AND(Copa2022!F17=G9,Copa2022!H17=I9),Regras!$J$25,IF(Y9=Regras!F31,Regras!$J$26,0)))</f>
        <v>5</v>
      </c>
      <c r="M9" s="495"/>
      <c r="N9" s="318"/>
      <c r="O9" s="502" t="s">
        <v>48</v>
      </c>
      <c r="P9" s="503"/>
      <c r="Q9" s="324" t="str">
        <f>IF(Copa2022!F22="","",IF(Copa2022!O18=Albenice!P10,Regras!$J$27,0))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 x14ac:dyDescent="0.2">
      <c r="A10" s="60" t="s">
        <v>291</v>
      </c>
      <c r="B10" s="485"/>
      <c r="C10" s="171">
        <v>44886</v>
      </c>
      <c r="D10" s="194" t="s">
        <v>136</v>
      </c>
      <c r="E10" s="177" t="s">
        <v>162</v>
      </c>
      <c r="F10" s="78" t="s">
        <v>145</v>
      </c>
      <c r="G10" s="328">
        <v>1</v>
      </c>
      <c r="H10" s="329" t="s">
        <v>0</v>
      </c>
      <c r="I10" s="337">
        <v>1</v>
      </c>
      <c r="J10" s="81" t="s">
        <v>158</v>
      </c>
      <c r="K10" s="52"/>
      <c r="L10" s="495">
        <f>IF(OR(Copa2022!F18="",G10=""),"",
IF(AND(Copa2022!F18=G10,Copa2022!H18=I10),Regras!$J$25,IF(Y10=Regras!F32,Regras!$J$26,0)))</f>
        <v>10</v>
      </c>
      <c r="M10" s="495"/>
      <c r="N10" s="318"/>
      <c r="O10" s="346">
        <v>1</v>
      </c>
      <c r="P10" s="345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empate</v>
      </c>
    </row>
    <row r="11" spans="1:25" s="60" customFormat="1" ht="35.1" customHeight="1" thickBot="1" x14ac:dyDescent="0.25">
      <c r="A11" s="60" t="s">
        <v>292</v>
      </c>
      <c r="B11" s="485"/>
      <c r="C11" s="171">
        <v>44890</v>
      </c>
      <c r="D11" s="194" t="s">
        <v>133</v>
      </c>
      <c r="E11" s="177" t="s">
        <v>162</v>
      </c>
      <c r="F11" s="78" t="s">
        <v>158</v>
      </c>
      <c r="G11" s="328">
        <v>2</v>
      </c>
      <c r="H11" s="329" t="s">
        <v>0</v>
      </c>
      <c r="I11" s="337">
        <v>0</v>
      </c>
      <c r="J11" s="81" t="s">
        <v>123</v>
      </c>
      <c r="K11" s="52"/>
      <c r="L11" s="495" t="str">
        <f>IF(OR(Copa2022!F19="",G11=""),"",
IF(AND(Copa2022!F19=G11,Copa2022!H19=I11),Regras!$J$25,IF(Y11=Regras!F33,Regras!$J$26,0)))</f>
        <v/>
      </c>
      <c r="M11" s="495"/>
      <c r="N11" s="318"/>
      <c r="O11" s="349">
        <v>2</v>
      </c>
      <c r="P11" s="350" t="s">
        <v>158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 x14ac:dyDescent="0.2">
      <c r="A12" s="60" t="s">
        <v>293</v>
      </c>
      <c r="B12" s="485"/>
      <c r="C12" s="171">
        <v>44890</v>
      </c>
      <c r="D12" s="194" t="s">
        <v>136</v>
      </c>
      <c r="E12" s="177" t="s">
        <v>161</v>
      </c>
      <c r="F12" s="78" t="s">
        <v>6</v>
      </c>
      <c r="G12" s="328">
        <v>3</v>
      </c>
      <c r="H12" s="329" t="s">
        <v>0</v>
      </c>
      <c r="I12" s="337">
        <v>1</v>
      </c>
      <c r="J12" s="81" t="s">
        <v>145</v>
      </c>
      <c r="K12" s="52"/>
      <c r="L12" s="495" t="str">
        <f>IF(OR(Copa2022!F20="",G12=""),"",
IF(AND(Copa2022!F20=G12,Copa2022!H20=I12),Regras!$J$25,IF(Y12=Regras!F34,Regras!$J$26,0)))</f>
        <v/>
      </c>
      <c r="M12" s="495"/>
      <c r="N12" s="318"/>
      <c r="O12" s="346">
        <v>3</v>
      </c>
      <c r="P12" s="345" t="s">
        <v>123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 x14ac:dyDescent="0.25">
      <c r="A13" s="60" t="s">
        <v>294</v>
      </c>
      <c r="B13" s="485"/>
      <c r="C13" s="171">
        <v>44894</v>
      </c>
      <c r="D13" s="194" t="s">
        <v>136</v>
      </c>
      <c r="E13" s="177" t="s">
        <v>162</v>
      </c>
      <c r="F13" s="78" t="s">
        <v>158</v>
      </c>
      <c r="G13" s="328">
        <v>0</v>
      </c>
      <c r="H13" s="329" t="s">
        <v>0</v>
      </c>
      <c r="I13" s="337">
        <v>1</v>
      </c>
      <c r="J13" s="81" t="s">
        <v>6</v>
      </c>
      <c r="K13" s="52"/>
      <c r="L13" s="495" t="str">
        <f>IF(OR(Copa2022!F21="",G13=""),"",
IF(AND(Copa2022!F21=G13,Copa2022!H21=I13),Regras!$J$25,IF(Y13=Regras!F35,Regras!$J$26,0)))</f>
        <v/>
      </c>
      <c r="M13" s="495"/>
      <c r="N13" s="318"/>
      <c r="O13" s="347">
        <v>4</v>
      </c>
      <c r="P13" s="348" t="s">
        <v>145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 x14ac:dyDescent="0.25">
      <c r="A14" s="60" t="s">
        <v>295</v>
      </c>
      <c r="B14" s="486"/>
      <c r="C14" s="173">
        <v>44894</v>
      </c>
      <c r="D14" s="195" t="s">
        <v>136</v>
      </c>
      <c r="E14" s="178" t="s">
        <v>157</v>
      </c>
      <c r="F14" s="90" t="s">
        <v>123</v>
      </c>
      <c r="G14" s="334">
        <v>1</v>
      </c>
      <c r="H14" s="335" t="s">
        <v>0</v>
      </c>
      <c r="I14" s="340">
        <v>0</v>
      </c>
      <c r="J14" s="93" t="s">
        <v>145</v>
      </c>
      <c r="K14" s="52"/>
      <c r="L14" s="495" t="str">
        <f>IF(OR(Copa2022!F22="",G14=""),"",
IF(AND(Copa2022!F22=G14,Copa2022!H22=I14),Regras!$J$25,IF(Y14=Regras!F36,Regras!$J$26,0)))</f>
        <v/>
      </c>
      <c r="M14" s="495"/>
      <c r="N14" s="318"/>
      <c r="O14" s="344"/>
      <c r="P14" s="345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 x14ac:dyDescent="0.25">
      <c r="A15" s="60" t="s">
        <v>296</v>
      </c>
      <c r="B15" s="48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26">
        <v>4</v>
      </c>
      <c r="H15" s="327" t="s">
        <v>0</v>
      </c>
      <c r="I15" s="336">
        <v>0</v>
      </c>
      <c r="J15" s="77" t="s">
        <v>125</v>
      </c>
      <c r="K15" s="52"/>
      <c r="L15" s="495">
        <f>IF(OR(Copa2022!F23="",G15=""),"",
IF(AND(Copa2022!F23=G15,Copa2022!H23=I15),Regras!$J$25,IF(Y15=Regras!F37,Regras!$J$26,0)))</f>
        <v>0</v>
      </c>
      <c r="M15" s="495"/>
      <c r="N15" s="318"/>
      <c r="O15" s="502" t="s">
        <v>50</v>
      </c>
      <c r="P15" s="503"/>
      <c r="Q15" s="324" t="str">
        <f>IF(Copa2022!F28="","",IF(Copa2022!O24=Albenice!P16,Regras!$J$27,0))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 x14ac:dyDescent="0.2">
      <c r="A16" s="60" t="s">
        <v>297</v>
      </c>
      <c r="B16" s="485"/>
      <c r="C16" s="171">
        <v>44887</v>
      </c>
      <c r="D16" s="194" t="s">
        <v>134</v>
      </c>
      <c r="E16" s="172" t="s">
        <v>163</v>
      </c>
      <c r="F16" s="78" t="s">
        <v>1</v>
      </c>
      <c r="G16" s="328">
        <v>0</v>
      </c>
      <c r="H16" s="329" t="s">
        <v>0</v>
      </c>
      <c r="I16" s="337">
        <v>0</v>
      </c>
      <c r="J16" s="81" t="s">
        <v>130</v>
      </c>
      <c r="K16" s="52"/>
      <c r="L16" s="495">
        <f>IF(OR(Copa2022!F24="",G16=""),"",
IF(AND(Copa2022!F24=G16,Copa2022!H24=I16),Regras!$J$25,IF(Y16=Regras!F38,Regras!$J$26,0)))</f>
        <v>10</v>
      </c>
      <c r="M16" s="495"/>
      <c r="N16" s="318"/>
      <c r="O16" s="346">
        <v>1</v>
      </c>
      <c r="P16" s="345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empate</v>
      </c>
    </row>
    <row r="17" spans="1:25" s="60" customFormat="1" ht="35.1" customHeight="1" thickBot="1" x14ac:dyDescent="0.25">
      <c r="A17" s="60" t="s">
        <v>298</v>
      </c>
      <c r="B17" s="485"/>
      <c r="C17" s="171">
        <v>44891</v>
      </c>
      <c r="D17" s="194" t="s">
        <v>135</v>
      </c>
      <c r="E17" s="172" t="s">
        <v>148</v>
      </c>
      <c r="F17" s="78" t="s">
        <v>130</v>
      </c>
      <c r="G17" s="328">
        <v>2</v>
      </c>
      <c r="H17" s="329" t="s">
        <v>0</v>
      </c>
      <c r="I17" s="337">
        <v>0</v>
      </c>
      <c r="J17" s="81" t="s">
        <v>125</v>
      </c>
      <c r="K17" s="52"/>
      <c r="L17" s="495" t="str">
        <f>IF(OR(Copa2022!F25="",G17=""),"",
IF(AND(Copa2022!F25=G17,Copa2022!H25=I17),Regras!$J$25,IF(Y17=Regras!F39,Regras!$J$26,0)))</f>
        <v/>
      </c>
      <c r="M17" s="495"/>
      <c r="N17" s="318"/>
      <c r="O17" s="349">
        <v>2</v>
      </c>
      <c r="P17" s="350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 x14ac:dyDescent="0.2">
      <c r="A18" s="60" t="s">
        <v>299</v>
      </c>
      <c r="B18" s="485"/>
      <c r="C18" s="171">
        <v>44891</v>
      </c>
      <c r="D18" s="194" t="s">
        <v>136</v>
      </c>
      <c r="E18" s="172" t="s">
        <v>146</v>
      </c>
      <c r="F18" s="78" t="s">
        <v>4</v>
      </c>
      <c r="G18" s="328">
        <v>2</v>
      </c>
      <c r="H18" s="329" t="s">
        <v>0</v>
      </c>
      <c r="I18" s="337">
        <v>1</v>
      </c>
      <c r="J18" s="81" t="s">
        <v>1</v>
      </c>
      <c r="K18" s="52"/>
      <c r="L18" s="495" t="str">
        <f>IF(OR(Copa2022!F26="",G18=""),"",
IF(AND(Copa2022!F26=G18,Copa2022!H26=I18),Regras!$J$25,IF(Y18=Regras!F40,Regras!$J$26,0)))</f>
        <v/>
      </c>
      <c r="M18" s="495"/>
      <c r="N18" s="318"/>
      <c r="O18" s="346">
        <v>3</v>
      </c>
      <c r="P18" s="345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 x14ac:dyDescent="0.25">
      <c r="A19" s="60" t="s">
        <v>300</v>
      </c>
      <c r="B19" s="485"/>
      <c r="C19" s="171">
        <v>44895</v>
      </c>
      <c r="D19" s="194" t="s">
        <v>136</v>
      </c>
      <c r="E19" s="172" t="s">
        <v>163</v>
      </c>
      <c r="F19" s="78" t="s">
        <v>130</v>
      </c>
      <c r="G19" s="328">
        <v>0</v>
      </c>
      <c r="H19" s="329" t="s">
        <v>0</v>
      </c>
      <c r="I19" s="337">
        <v>1</v>
      </c>
      <c r="J19" s="81" t="s">
        <v>4</v>
      </c>
      <c r="K19" s="52"/>
      <c r="L19" s="495" t="str">
        <f>IF(OR(Copa2022!F27="",G19=""),"",
IF(AND(Copa2022!F27=G19,Copa2022!H27=I19),Regras!$J$25,IF(Y19=Regras!F41,Regras!$J$26,0)))</f>
        <v/>
      </c>
      <c r="M19" s="495"/>
      <c r="N19" s="318"/>
      <c r="O19" s="347">
        <v>4</v>
      </c>
      <c r="P19" s="348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 x14ac:dyDescent="0.25">
      <c r="A20" s="60" t="s">
        <v>301</v>
      </c>
      <c r="B20" s="486"/>
      <c r="C20" s="173">
        <v>44895</v>
      </c>
      <c r="D20" s="195" t="s">
        <v>136</v>
      </c>
      <c r="E20" s="174" t="s">
        <v>146</v>
      </c>
      <c r="F20" s="86" t="s">
        <v>125</v>
      </c>
      <c r="G20" s="332">
        <v>0</v>
      </c>
      <c r="H20" s="333" t="s">
        <v>0</v>
      </c>
      <c r="I20" s="338">
        <v>3</v>
      </c>
      <c r="J20" s="89" t="s">
        <v>1</v>
      </c>
      <c r="K20" s="52"/>
      <c r="L20" s="495" t="str">
        <f>IF(OR(Copa2022!F28="",G20=""),"",
IF(AND(Copa2022!F28=G20,Copa2022!H28=I20),Regras!$J$25,IF(Y20=Regras!F42,Regras!$J$26,0)))</f>
        <v/>
      </c>
      <c r="M20" s="495"/>
      <c r="N20" s="318"/>
      <c r="O20" s="344"/>
      <c r="P20" s="345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 x14ac:dyDescent="0.25">
      <c r="A21" s="60" t="s">
        <v>302</v>
      </c>
      <c r="B21" s="48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30">
        <v>2</v>
      </c>
      <c r="H21" s="331" t="s">
        <v>0</v>
      </c>
      <c r="I21" s="339">
        <v>0</v>
      </c>
      <c r="J21" s="85" t="s">
        <v>129</v>
      </c>
      <c r="K21" s="52"/>
      <c r="L21" s="495">
        <f>IF(OR(Copa2022!F29="",G21=""),"",
IF(AND(Copa2022!F29=G21,Copa2022!H29=I21),Regras!$J$25,IF(Y21=Regras!F43,Regras!$J$26,0)))</f>
        <v>0</v>
      </c>
      <c r="M21" s="495"/>
      <c r="N21" s="318"/>
      <c r="O21" s="502" t="s">
        <v>51</v>
      </c>
      <c r="P21" s="503"/>
      <c r="Q21" s="324" t="str">
        <f>IF(Copa2022!F34="","",IF(Copa2022!O30=Albenice!P22,Regras!$J$27,0))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 x14ac:dyDescent="0.2">
      <c r="A22" s="60" t="s">
        <v>303</v>
      </c>
      <c r="B22" s="485"/>
      <c r="C22" s="171">
        <v>44887</v>
      </c>
      <c r="D22" s="194" t="s">
        <v>136</v>
      </c>
      <c r="E22" s="177" t="s">
        <v>164</v>
      </c>
      <c r="F22" s="78" t="s">
        <v>3</v>
      </c>
      <c r="G22" s="328">
        <v>3</v>
      </c>
      <c r="H22" s="329" t="s">
        <v>0</v>
      </c>
      <c r="I22" s="337">
        <v>1</v>
      </c>
      <c r="J22" s="81" t="s">
        <v>159</v>
      </c>
      <c r="K22" s="52"/>
      <c r="L22" s="495">
        <f>IF(OR(Copa2022!F30="",G22=""),"",
IF(AND(Copa2022!F30=G22,Copa2022!H30=I22),Regras!$J$25,IF(Y22=Regras!F44,Regras!$J$26,0)))</f>
        <v>5</v>
      </c>
      <c r="M22" s="495"/>
      <c r="N22" s="318"/>
      <c r="O22" s="346">
        <v>1</v>
      </c>
      <c r="P22" s="345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 x14ac:dyDescent="0.25">
      <c r="A23" s="60" t="s">
        <v>304</v>
      </c>
      <c r="B23" s="485"/>
      <c r="C23" s="171">
        <v>44891</v>
      </c>
      <c r="D23" s="194" t="s">
        <v>133</v>
      </c>
      <c r="E23" s="177" t="s">
        <v>164</v>
      </c>
      <c r="F23" s="78" t="s">
        <v>129</v>
      </c>
      <c r="G23" s="328">
        <v>0</v>
      </c>
      <c r="H23" s="329" t="s">
        <v>0</v>
      </c>
      <c r="I23" s="337">
        <v>0</v>
      </c>
      <c r="J23" s="81" t="s">
        <v>159</v>
      </c>
      <c r="K23" s="52"/>
      <c r="L23" s="495" t="str">
        <f>IF(OR(Copa2022!F31="",G23=""),"",
IF(AND(Copa2022!F31=G23,Copa2022!H31=I23),Regras!$J$25,IF(Y23=Regras!F45,Regras!$J$26,0)))</f>
        <v/>
      </c>
      <c r="M23" s="495"/>
      <c r="N23" s="318"/>
      <c r="O23" s="349">
        <v>2</v>
      </c>
      <c r="P23" s="350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 x14ac:dyDescent="0.2">
      <c r="A24" s="60" t="s">
        <v>305</v>
      </c>
      <c r="B24" s="485"/>
      <c r="C24" s="171">
        <v>44891</v>
      </c>
      <c r="D24" s="194" t="s">
        <v>134</v>
      </c>
      <c r="E24" s="177" t="s">
        <v>163</v>
      </c>
      <c r="F24" s="78" t="s">
        <v>3</v>
      </c>
      <c r="G24" s="328">
        <v>1</v>
      </c>
      <c r="H24" s="329" t="s">
        <v>0</v>
      </c>
      <c r="I24" s="337">
        <v>0</v>
      </c>
      <c r="J24" s="81" t="s">
        <v>127</v>
      </c>
      <c r="K24" s="52"/>
      <c r="L24" s="495" t="str">
        <f>IF(OR(Copa2022!F32="",G24=""),"",
IF(AND(Copa2022!F32=G24,Copa2022!H32=I24),Regras!$J$25,IF(Y24=Regras!F46,Regras!$J$26,0)))</f>
        <v/>
      </c>
      <c r="M24" s="495"/>
      <c r="N24" s="318"/>
      <c r="O24" s="346">
        <v>3</v>
      </c>
      <c r="P24" s="345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 x14ac:dyDescent="0.25">
      <c r="A25" s="60" t="s">
        <v>306</v>
      </c>
      <c r="B25" s="485"/>
      <c r="C25" s="171">
        <v>44895</v>
      </c>
      <c r="D25" s="194" t="s">
        <v>132</v>
      </c>
      <c r="E25" s="177" t="s">
        <v>148</v>
      </c>
      <c r="F25" s="78" t="s">
        <v>129</v>
      </c>
      <c r="G25" s="328">
        <v>0</v>
      </c>
      <c r="H25" s="329" t="s">
        <v>0</v>
      </c>
      <c r="I25" s="337">
        <v>2</v>
      </c>
      <c r="J25" s="81" t="s">
        <v>3</v>
      </c>
      <c r="K25" s="52"/>
      <c r="L25" s="495" t="str">
        <f>IF(OR(Copa2022!F33="",G25=""),"",
IF(AND(Copa2022!F33=G25,Copa2022!H33=I25),Regras!$J$25,IF(Y25=Regras!F47,Regras!$J$26,0)))</f>
        <v/>
      </c>
      <c r="M25" s="495"/>
      <c r="N25" s="318"/>
      <c r="O25" s="347">
        <v>4</v>
      </c>
      <c r="P25" s="348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 x14ac:dyDescent="0.25">
      <c r="A26" s="60" t="s">
        <v>307</v>
      </c>
      <c r="B26" s="486"/>
      <c r="C26" s="173">
        <v>44895</v>
      </c>
      <c r="D26" s="195" t="s">
        <v>132</v>
      </c>
      <c r="E26" s="178" t="s">
        <v>164</v>
      </c>
      <c r="F26" s="90" t="s">
        <v>159</v>
      </c>
      <c r="G26" s="334">
        <v>0</v>
      </c>
      <c r="H26" s="335" t="s">
        <v>0</v>
      </c>
      <c r="I26" s="340">
        <v>1</v>
      </c>
      <c r="J26" s="93" t="s">
        <v>127</v>
      </c>
      <c r="K26" s="52"/>
      <c r="L26" s="495" t="str">
        <f>IF(OR(Copa2022!F34="",G26=""),"",
IF(AND(Copa2022!F34=G26,Copa2022!H34=I26),Regras!$J$25,IF(Y26=Regras!F48,Regras!$J$26,0)))</f>
        <v/>
      </c>
      <c r="M26" s="495"/>
      <c r="N26" s="318"/>
      <c r="O26" s="344"/>
      <c r="P26" s="345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 x14ac:dyDescent="0.25">
      <c r="A27" s="60" t="s">
        <v>308</v>
      </c>
      <c r="B27" s="48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26">
        <v>2</v>
      </c>
      <c r="H27" s="327" t="s">
        <v>0</v>
      </c>
      <c r="I27" s="336">
        <v>1</v>
      </c>
      <c r="J27" s="77" t="s">
        <v>8</v>
      </c>
      <c r="K27" s="52"/>
      <c r="L27" s="495" t="str">
        <f>IF(OR(Copa2022!F35="",G27=""),"",
IF(AND(Copa2022!F35=G27,Copa2022!H35=I27),Regras!$J$25,IF(Y27=Regras!F49,Regras!$J$26,0)))</f>
        <v/>
      </c>
      <c r="M27" s="495"/>
      <c r="N27" s="318"/>
      <c r="O27" s="502" t="s">
        <v>53</v>
      </c>
      <c r="P27" s="503"/>
      <c r="Q27" s="324" t="str">
        <f>IF(Copa2022!F40="","",IF(Copa2022!O36=Albenice!P28,Regras!$J$27,0))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 x14ac:dyDescent="0.2">
      <c r="A28" s="60" t="s">
        <v>309</v>
      </c>
      <c r="B28" s="485"/>
      <c r="C28" s="171">
        <v>44888</v>
      </c>
      <c r="D28" s="194" t="s">
        <v>134</v>
      </c>
      <c r="E28" s="172" t="s">
        <v>157</v>
      </c>
      <c r="F28" s="78" t="s">
        <v>11</v>
      </c>
      <c r="G28" s="328">
        <v>2</v>
      </c>
      <c r="H28" s="329" t="s">
        <v>0</v>
      </c>
      <c r="I28" s="337">
        <v>1</v>
      </c>
      <c r="J28" s="81" t="s">
        <v>160</v>
      </c>
      <c r="K28" s="52"/>
      <c r="L28" s="495" t="str">
        <f>IF(OR(Copa2022!F36="",G28=""),"",
IF(AND(Copa2022!F36=G28,Copa2022!H36=I28),Regras!$J$25,IF(Y28=Regras!F50,Regras!$J$26,0)))</f>
        <v/>
      </c>
      <c r="M28" s="495"/>
      <c r="N28" s="318"/>
      <c r="O28" s="346">
        <v>1</v>
      </c>
      <c r="P28" s="345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 x14ac:dyDescent="0.25">
      <c r="A29" s="60" t="s">
        <v>310</v>
      </c>
      <c r="B29" s="485"/>
      <c r="C29" s="171">
        <v>44892</v>
      </c>
      <c r="D29" s="194" t="s">
        <v>133</v>
      </c>
      <c r="E29" s="172" t="s">
        <v>162</v>
      </c>
      <c r="F29" s="78" t="s">
        <v>8</v>
      </c>
      <c r="G29" s="328">
        <v>2</v>
      </c>
      <c r="H29" s="329" t="s">
        <v>0</v>
      </c>
      <c r="I29" s="337">
        <v>2</v>
      </c>
      <c r="J29" s="81" t="s">
        <v>160</v>
      </c>
      <c r="K29" s="52"/>
      <c r="L29" s="495" t="str">
        <f>IF(OR(Copa2022!F37="",G29=""),"",
IF(AND(Copa2022!F37=G29,Copa2022!H37=I29),Regras!$J$25,IF(Y29=Regras!F51,Regras!$J$26,0)))</f>
        <v/>
      </c>
      <c r="M29" s="495"/>
      <c r="N29" s="318"/>
      <c r="O29" s="349">
        <v>2</v>
      </c>
      <c r="P29" s="350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 x14ac:dyDescent="0.2">
      <c r="A30" s="60" t="s">
        <v>311</v>
      </c>
      <c r="B30" s="485"/>
      <c r="C30" s="171">
        <v>44892</v>
      </c>
      <c r="D30" s="194" t="s">
        <v>136</v>
      </c>
      <c r="E30" s="172" t="s">
        <v>161</v>
      </c>
      <c r="F30" s="78" t="s">
        <v>11</v>
      </c>
      <c r="G30" s="328">
        <v>1</v>
      </c>
      <c r="H30" s="329" t="s">
        <v>0</v>
      </c>
      <c r="I30" s="337">
        <v>1</v>
      </c>
      <c r="J30" s="81" t="s">
        <v>7</v>
      </c>
      <c r="K30" s="52"/>
      <c r="L30" s="495" t="str">
        <f>IF(OR(Copa2022!F38="",G30=""),"",
IF(AND(Copa2022!F38=G30,Copa2022!H38=I30),Regras!$J$25,IF(Y30=Regras!F52,Regras!$J$26,0)))</f>
        <v/>
      </c>
      <c r="M30" s="495"/>
      <c r="N30" s="318"/>
      <c r="O30" s="346">
        <v>3</v>
      </c>
      <c r="P30" s="345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 x14ac:dyDescent="0.25">
      <c r="A31" s="60" t="s">
        <v>312</v>
      </c>
      <c r="B31" s="485"/>
      <c r="C31" s="171">
        <v>44896</v>
      </c>
      <c r="D31" s="194" t="s">
        <v>136</v>
      </c>
      <c r="E31" s="172" t="s">
        <v>143</v>
      </c>
      <c r="F31" s="78" t="s">
        <v>8</v>
      </c>
      <c r="G31" s="328">
        <v>0</v>
      </c>
      <c r="H31" s="329" t="s">
        <v>0</v>
      </c>
      <c r="I31" s="337">
        <v>1</v>
      </c>
      <c r="J31" s="81" t="s">
        <v>11</v>
      </c>
      <c r="K31" s="52"/>
      <c r="L31" s="495" t="str">
        <f>IF(OR(Copa2022!F39="",G31=""),"",
IF(AND(Copa2022!F39=G31,Copa2022!H39=I31),Regras!$J$25,IF(Y31=Regras!F53,Regras!$J$26,0)))</f>
        <v/>
      </c>
      <c r="M31" s="495"/>
      <c r="N31" s="318"/>
      <c r="O31" s="347">
        <v>4</v>
      </c>
      <c r="P31" s="348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 x14ac:dyDescent="0.25">
      <c r="A32" s="60" t="s">
        <v>313</v>
      </c>
      <c r="B32" s="486"/>
      <c r="C32" s="173">
        <v>44896</v>
      </c>
      <c r="D32" s="195" t="s">
        <v>136</v>
      </c>
      <c r="E32" s="174" t="s">
        <v>161</v>
      </c>
      <c r="F32" s="86" t="s">
        <v>160</v>
      </c>
      <c r="G32" s="332">
        <v>1</v>
      </c>
      <c r="H32" s="333" t="s">
        <v>0</v>
      </c>
      <c r="I32" s="338">
        <v>3</v>
      </c>
      <c r="J32" s="89" t="s">
        <v>7</v>
      </c>
      <c r="K32" s="52"/>
      <c r="L32" s="495" t="str">
        <f>IF(OR(Copa2022!F40="",G32=""),"",
IF(AND(Copa2022!F40=G32,Copa2022!H40=I32),Regras!$J$25,IF(Y32=Regras!F54,Regras!$J$26,0)))</f>
        <v/>
      </c>
      <c r="M32" s="495"/>
      <c r="N32" s="318"/>
      <c r="O32" s="344"/>
      <c r="P32" s="345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 x14ac:dyDescent="0.25">
      <c r="A33" s="60" t="s">
        <v>314</v>
      </c>
      <c r="B33" s="48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30">
        <v>2</v>
      </c>
      <c r="H33" s="331" t="s">
        <v>0</v>
      </c>
      <c r="I33" s="339">
        <v>2</v>
      </c>
      <c r="J33" s="85" t="s">
        <v>70</v>
      </c>
      <c r="K33" s="52"/>
      <c r="L33" s="495" t="str">
        <f>IF(OR(Copa2022!F41="",G33=""),"",
IF(AND(Copa2022!F41=G33,Copa2022!H41=I33),Regras!$J$25,IF(Y33=Regras!F55,Regras!$J$26,0)))</f>
        <v/>
      </c>
      <c r="M33" s="495"/>
      <c r="N33" s="318"/>
      <c r="O33" s="502" t="s">
        <v>56</v>
      </c>
      <c r="P33" s="503"/>
      <c r="Q33" s="324" t="str">
        <f>IF(Copa2022!F46="","",IF(Copa2022!O42=Albenice!P34,Regras!$J$27,0))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/>
      </c>
    </row>
    <row r="34" spans="1:25" s="60" customFormat="1" ht="35.1" customHeight="1" x14ac:dyDescent="0.2">
      <c r="A34" s="60" t="s">
        <v>315</v>
      </c>
      <c r="B34" s="485"/>
      <c r="C34" s="171">
        <v>44888</v>
      </c>
      <c r="D34" s="194" t="s">
        <v>136</v>
      </c>
      <c r="E34" s="177" t="s">
        <v>162</v>
      </c>
      <c r="F34" s="78" t="s">
        <v>104</v>
      </c>
      <c r="G34" s="328">
        <v>2</v>
      </c>
      <c r="H34" s="329" t="s">
        <v>0</v>
      </c>
      <c r="I34" s="337">
        <v>0</v>
      </c>
      <c r="J34" s="81" t="s">
        <v>150</v>
      </c>
      <c r="K34" s="52"/>
      <c r="L34" s="495" t="str">
        <f>IF(OR(Copa2022!F42="",G34=""),"",
IF(AND(Copa2022!F42=G34,Copa2022!H42=I34),Regras!$J$25,IF(Y34=Regras!F56,Regras!$J$26,0)))</f>
        <v/>
      </c>
      <c r="M34" s="495"/>
      <c r="N34" s="318"/>
      <c r="O34" s="346">
        <v>1</v>
      </c>
      <c r="P34" s="345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 x14ac:dyDescent="0.25">
      <c r="A35" s="60" t="s">
        <v>316</v>
      </c>
      <c r="B35" s="485"/>
      <c r="C35" s="171">
        <v>44892</v>
      </c>
      <c r="D35" s="194" t="s">
        <v>135</v>
      </c>
      <c r="E35" s="177" t="s">
        <v>157</v>
      </c>
      <c r="F35" s="78" t="s">
        <v>104</v>
      </c>
      <c r="G35" s="328">
        <v>1</v>
      </c>
      <c r="H35" s="329" t="s">
        <v>0</v>
      </c>
      <c r="I35" s="337">
        <v>0</v>
      </c>
      <c r="J35" s="81" t="s">
        <v>126</v>
      </c>
      <c r="K35" s="52"/>
      <c r="L35" s="495" t="str">
        <f>IF(OR(Copa2022!F43="",G35=""),"",
IF(AND(Copa2022!F43=G35,Copa2022!H43=I35),Regras!$J$25,IF(Y35=Regras!F57,Regras!$J$26,0)))</f>
        <v/>
      </c>
      <c r="M35" s="495"/>
      <c r="N35" s="318"/>
      <c r="O35" s="349">
        <v>2</v>
      </c>
      <c r="P35" s="350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 x14ac:dyDescent="0.2">
      <c r="A36" s="60" t="s">
        <v>317</v>
      </c>
      <c r="B36" s="485"/>
      <c r="C36" s="171">
        <v>44892</v>
      </c>
      <c r="D36" s="194" t="s">
        <v>134</v>
      </c>
      <c r="E36" s="177" t="s">
        <v>143</v>
      </c>
      <c r="F36" s="78" t="s">
        <v>70</v>
      </c>
      <c r="G36" s="328">
        <v>2</v>
      </c>
      <c r="H36" s="329" t="s">
        <v>0</v>
      </c>
      <c r="I36" s="337">
        <v>1</v>
      </c>
      <c r="J36" s="81" t="s">
        <v>150</v>
      </c>
      <c r="K36" s="52"/>
      <c r="L36" s="495" t="str">
        <f>IF(OR(Copa2022!F44="",G36=""),"",
IF(AND(Copa2022!F44=G36,Copa2022!H44=I36),Regras!$J$25,IF(Y36=Regras!F58,Regras!$J$26,0)))</f>
        <v/>
      </c>
      <c r="M36" s="495"/>
      <c r="N36" s="318"/>
      <c r="O36" s="346">
        <v>3</v>
      </c>
      <c r="P36" s="345" t="s">
        <v>126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 x14ac:dyDescent="0.25">
      <c r="A37" s="60" t="s">
        <v>318</v>
      </c>
      <c r="B37" s="485"/>
      <c r="C37" s="171">
        <v>44896</v>
      </c>
      <c r="D37" s="194" t="s">
        <v>132</v>
      </c>
      <c r="E37" s="177" t="s">
        <v>162</v>
      </c>
      <c r="F37" s="78" t="s">
        <v>70</v>
      </c>
      <c r="G37" s="328">
        <v>1</v>
      </c>
      <c r="H37" s="329" t="s">
        <v>0</v>
      </c>
      <c r="I37" s="337">
        <v>1</v>
      </c>
      <c r="J37" s="81" t="s">
        <v>104</v>
      </c>
      <c r="K37" s="52"/>
      <c r="L37" s="495" t="str">
        <f>IF(OR(Copa2022!F45="",G37=""),"",
IF(AND(Copa2022!F45=G37,Copa2022!H45=I37),Regras!$J$25,IF(Y37=Regras!F59,Regras!$J$26,0)))</f>
        <v/>
      </c>
      <c r="M37" s="495"/>
      <c r="N37" s="318"/>
      <c r="O37" s="347">
        <v>4</v>
      </c>
      <c r="P37" s="348" t="s">
        <v>150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 x14ac:dyDescent="0.25">
      <c r="A38" s="60" t="s">
        <v>319</v>
      </c>
      <c r="B38" s="486"/>
      <c r="C38" s="173">
        <v>44896</v>
      </c>
      <c r="D38" s="195" t="s">
        <v>132</v>
      </c>
      <c r="E38" s="178" t="s">
        <v>157</v>
      </c>
      <c r="F38" s="90" t="s">
        <v>150</v>
      </c>
      <c r="G38" s="334">
        <v>2</v>
      </c>
      <c r="H38" s="335" t="s">
        <v>0</v>
      </c>
      <c r="I38" s="340">
        <v>3</v>
      </c>
      <c r="J38" s="93" t="s">
        <v>126</v>
      </c>
      <c r="K38" s="52"/>
      <c r="L38" s="495" t="str">
        <f>IF(OR(Copa2022!F46="",G38=""),"",
IF(AND(Copa2022!F46=G38,Copa2022!H46=I38),Regras!$J$25,IF(Y38=Regras!F60,Regras!$J$26,0)))</f>
        <v/>
      </c>
      <c r="M38" s="495"/>
      <c r="N38" s="318"/>
      <c r="O38" s="344"/>
      <c r="P38" s="345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 x14ac:dyDescent="0.25">
      <c r="A39" s="60" t="s">
        <v>320</v>
      </c>
      <c r="B39" s="48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26">
        <v>2</v>
      </c>
      <c r="H39" s="327" t="s">
        <v>0</v>
      </c>
      <c r="I39" s="336">
        <v>0</v>
      </c>
      <c r="J39" s="77" t="s">
        <v>151</v>
      </c>
      <c r="K39" s="52"/>
      <c r="L39" s="495" t="str">
        <f>IF(OR(Copa2022!F47="",G39=""),"",
IF(AND(Copa2022!F47=G39,Copa2022!H47=I39),Regras!$J$25,IF(Y39=Regras!F61,Regras!$J$26,0)))</f>
        <v/>
      </c>
      <c r="M39" s="495"/>
      <c r="N39" s="318"/>
      <c r="O39" s="502" t="s">
        <v>58</v>
      </c>
      <c r="P39" s="503"/>
      <c r="Q39" s="324" t="str">
        <f>IF(Copa2022!F52="","",IF(Copa2022!O48=Albenice!P40,Regras!$J$27,0))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 x14ac:dyDescent="0.2">
      <c r="A40" s="60" t="s">
        <v>321</v>
      </c>
      <c r="B40" s="485"/>
      <c r="C40" s="171">
        <v>44889</v>
      </c>
      <c r="D40" s="194" t="s">
        <v>136</v>
      </c>
      <c r="E40" s="172" t="s">
        <v>146</v>
      </c>
      <c r="F40" s="78" t="s">
        <v>10</v>
      </c>
      <c r="G40" s="328">
        <v>2</v>
      </c>
      <c r="H40" s="329" t="s">
        <v>0</v>
      </c>
      <c r="I40" s="337">
        <v>1</v>
      </c>
      <c r="J40" s="81" t="s">
        <v>128</v>
      </c>
      <c r="K40" s="52"/>
      <c r="L40" s="495" t="str">
        <f>IF(OR(Copa2022!F48="",G40=""),"",
IF(AND(Copa2022!F48=G40,Copa2022!H48=I40),Regras!$J$25,IF(Y40=Regras!F62,Regras!$J$26,0)))</f>
        <v/>
      </c>
      <c r="M40" s="495"/>
      <c r="N40" s="318"/>
      <c r="O40" s="351">
        <v>1</v>
      </c>
      <c r="P40" s="352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 x14ac:dyDescent="0.25">
      <c r="A41" s="60" t="s">
        <v>322</v>
      </c>
      <c r="B41" s="485"/>
      <c r="C41" s="171">
        <v>44893</v>
      </c>
      <c r="D41" s="194" t="s">
        <v>133</v>
      </c>
      <c r="E41" s="172" t="s">
        <v>164</v>
      </c>
      <c r="F41" s="78" t="s">
        <v>151</v>
      </c>
      <c r="G41" s="328">
        <v>0</v>
      </c>
      <c r="H41" s="329" t="s">
        <v>0</v>
      </c>
      <c r="I41" s="337">
        <v>1</v>
      </c>
      <c r="J41" s="81" t="s">
        <v>128</v>
      </c>
      <c r="K41" s="52"/>
      <c r="L41" s="495" t="str">
        <f>IF(OR(Copa2022!F49="",G41=""),"",
IF(AND(Copa2022!F49=G41,Copa2022!H49=I41),Regras!$J$25,IF(Y41=Regras!F63,Regras!$J$26,0)))</f>
        <v/>
      </c>
      <c r="M41" s="495"/>
      <c r="N41" s="318"/>
      <c r="O41" s="349">
        <v>2</v>
      </c>
      <c r="P41" s="350" t="s">
        <v>128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 x14ac:dyDescent="0.2">
      <c r="A42" s="60" t="s">
        <v>323</v>
      </c>
      <c r="B42" s="485"/>
      <c r="C42" s="171">
        <v>44893</v>
      </c>
      <c r="D42" s="194" t="s">
        <v>134</v>
      </c>
      <c r="E42" s="172" t="s">
        <v>163</v>
      </c>
      <c r="F42" s="78" t="s">
        <v>10</v>
      </c>
      <c r="G42" s="328">
        <v>1</v>
      </c>
      <c r="H42" s="329" t="s">
        <v>0</v>
      </c>
      <c r="I42" s="337">
        <v>0</v>
      </c>
      <c r="J42" s="81" t="s">
        <v>12</v>
      </c>
      <c r="K42" s="52"/>
      <c r="L42" s="495" t="str">
        <f>IF(OR(Copa2022!F50="",G42=""),"",
IF(AND(Copa2022!F50=G42,Copa2022!H50=I42),Regras!$J$25,IF(Y42=Regras!F64,Regras!$J$26,0)))</f>
        <v/>
      </c>
      <c r="M42" s="495"/>
      <c r="N42" s="318"/>
      <c r="O42" s="346">
        <v>3</v>
      </c>
      <c r="P42" s="345" t="s">
        <v>12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 x14ac:dyDescent="0.25">
      <c r="A43" s="60" t="s">
        <v>324</v>
      </c>
      <c r="B43" s="485"/>
      <c r="C43" s="171">
        <v>44897</v>
      </c>
      <c r="D43" s="194" t="s">
        <v>136</v>
      </c>
      <c r="E43" s="172" t="s">
        <v>146</v>
      </c>
      <c r="F43" s="78" t="s">
        <v>151</v>
      </c>
      <c r="G43" s="328">
        <v>0</v>
      </c>
      <c r="H43" s="329" t="s">
        <v>0</v>
      </c>
      <c r="I43" s="337">
        <v>3</v>
      </c>
      <c r="J43" s="81" t="s">
        <v>10</v>
      </c>
      <c r="K43" s="52"/>
      <c r="L43" s="495" t="str">
        <f>IF(OR(Copa2022!F51="",G43=""),"",
IF(AND(Copa2022!F51=G43,Copa2022!H51=I43),Regras!$J$25,IF(Y43=Regras!F65,Regras!$J$26,0)))</f>
        <v/>
      </c>
      <c r="M43" s="495"/>
      <c r="N43" s="318"/>
      <c r="O43" s="347">
        <v>4</v>
      </c>
      <c r="P43" s="348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 x14ac:dyDescent="0.25">
      <c r="A44" s="60" t="s">
        <v>325</v>
      </c>
      <c r="B44" s="486"/>
      <c r="C44" s="173">
        <v>44897</v>
      </c>
      <c r="D44" s="195" t="s">
        <v>136</v>
      </c>
      <c r="E44" s="174" t="s">
        <v>163</v>
      </c>
      <c r="F44" s="86" t="s">
        <v>128</v>
      </c>
      <c r="G44" s="332">
        <v>2</v>
      </c>
      <c r="H44" s="333" t="s">
        <v>0</v>
      </c>
      <c r="I44" s="338">
        <v>1</v>
      </c>
      <c r="J44" s="89" t="s">
        <v>12</v>
      </c>
      <c r="K44" s="52"/>
      <c r="L44" s="495" t="str">
        <f>IF(OR(Copa2022!F52="",G44=""),"",
IF(AND(Copa2022!F52=G44,Copa2022!H52=I44),Regras!$J$25,IF(Y44=Regras!F66,Regras!$J$26,0)))</f>
        <v/>
      </c>
      <c r="M44" s="495"/>
      <c r="N44" s="318"/>
      <c r="O44" s="344"/>
      <c r="P44" s="345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 x14ac:dyDescent="0.25">
      <c r="A45" s="60" t="s">
        <v>326</v>
      </c>
      <c r="B45" s="48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30">
        <v>2</v>
      </c>
      <c r="H45" s="331" t="s">
        <v>0</v>
      </c>
      <c r="I45" s="339">
        <v>1</v>
      </c>
      <c r="J45" s="85" t="s">
        <v>5</v>
      </c>
      <c r="K45" s="52"/>
      <c r="L45" s="495" t="str">
        <f>IF(OR(Copa2022!F53="",G45=""),"",
IF(AND(Copa2022!F53=G45,Copa2022!H53=I45),Regras!$J$25,IF(Y45=Regras!F67,Regras!$J$26,0)))</f>
        <v/>
      </c>
      <c r="M45" s="495"/>
      <c r="N45" s="318"/>
      <c r="O45" s="502" t="s">
        <v>59</v>
      </c>
      <c r="P45" s="503"/>
      <c r="Q45" s="324" t="str">
        <f>IF(Copa2022!F58="","",IF(Copa2022!O54=Albenice!P46,Regras!$J$27,0))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 x14ac:dyDescent="0.2">
      <c r="A46" s="60" t="s">
        <v>327</v>
      </c>
      <c r="B46" s="485"/>
      <c r="C46" s="171">
        <v>44889</v>
      </c>
      <c r="D46" s="194" t="s">
        <v>134</v>
      </c>
      <c r="E46" s="177" t="s">
        <v>163</v>
      </c>
      <c r="F46" s="78" t="s">
        <v>9</v>
      </c>
      <c r="G46" s="328">
        <v>3</v>
      </c>
      <c r="H46" s="329" t="s">
        <v>0</v>
      </c>
      <c r="I46" s="337">
        <v>1</v>
      </c>
      <c r="J46" s="81" t="s">
        <v>152</v>
      </c>
      <c r="K46" s="52"/>
      <c r="L46" s="495" t="str">
        <f>IF(OR(Copa2022!F54="",G46=""),"",
IF(AND(Copa2022!F54=G46,Copa2022!H54=I46),Regras!$J$25,IF(Y46=Regras!F68,Regras!$J$26,0)))</f>
        <v/>
      </c>
      <c r="M46" s="495"/>
      <c r="N46" s="318"/>
      <c r="O46" s="346">
        <v>1</v>
      </c>
      <c r="P46" s="345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 x14ac:dyDescent="0.25">
      <c r="A47" s="60" t="s">
        <v>328</v>
      </c>
      <c r="B47" s="485"/>
      <c r="C47" s="171">
        <v>44893</v>
      </c>
      <c r="D47" s="194" t="s">
        <v>135</v>
      </c>
      <c r="E47" s="177" t="s">
        <v>148</v>
      </c>
      <c r="F47" s="78" t="s">
        <v>5</v>
      </c>
      <c r="G47" s="328">
        <v>2</v>
      </c>
      <c r="H47" s="329" t="s">
        <v>0</v>
      </c>
      <c r="I47" s="337">
        <v>0</v>
      </c>
      <c r="J47" s="81" t="s">
        <v>152</v>
      </c>
      <c r="K47" s="52"/>
      <c r="L47" s="495" t="str">
        <f>IF(OR(Copa2022!F55="",G47=""),"",
IF(AND(Copa2022!F55=G47,Copa2022!H55=I47),Regras!$J$25,IF(Y47=Regras!F69,Regras!$J$26,0)))</f>
        <v/>
      </c>
      <c r="M47" s="495"/>
      <c r="N47" s="318"/>
      <c r="O47" s="349">
        <v>2</v>
      </c>
      <c r="P47" s="350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 x14ac:dyDescent="0.2">
      <c r="A48" s="60" t="s">
        <v>329</v>
      </c>
      <c r="B48" s="485"/>
      <c r="C48" s="171">
        <v>44893</v>
      </c>
      <c r="D48" s="194" t="s">
        <v>136</v>
      </c>
      <c r="E48" s="177" t="s">
        <v>146</v>
      </c>
      <c r="F48" s="78" t="s">
        <v>9</v>
      </c>
      <c r="G48" s="328">
        <v>3</v>
      </c>
      <c r="H48" s="329" t="s">
        <v>0</v>
      </c>
      <c r="I48" s="337">
        <v>2</v>
      </c>
      <c r="J48" s="81" t="s">
        <v>2</v>
      </c>
      <c r="K48" s="52"/>
      <c r="L48" s="495" t="str">
        <f>IF(OR(Copa2022!F56="",G48=""),"",
IF(AND(Copa2022!F56=G48,Copa2022!H56=I48),Regras!$J$25,IF(Y48=Regras!F70,Regras!$J$26,0)))</f>
        <v/>
      </c>
      <c r="M48" s="495"/>
      <c r="N48" s="318"/>
      <c r="O48" s="346">
        <v>3</v>
      </c>
      <c r="P48" s="345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 x14ac:dyDescent="0.25">
      <c r="A49" s="60" t="s">
        <v>330</v>
      </c>
      <c r="B49" s="485"/>
      <c r="C49" s="171">
        <v>44897</v>
      </c>
      <c r="D49" s="194" t="s">
        <v>132</v>
      </c>
      <c r="E49" s="177" t="s">
        <v>148</v>
      </c>
      <c r="F49" s="78" t="s">
        <v>5</v>
      </c>
      <c r="G49" s="328">
        <v>0</v>
      </c>
      <c r="H49" s="329" t="s">
        <v>0</v>
      </c>
      <c r="I49" s="337">
        <v>2</v>
      </c>
      <c r="J49" s="81" t="s">
        <v>9</v>
      </c>
      <c r="K49" s="52"/>
      <c r="L49" s="495" t="str">
        <f>IF(OR(Copa2022!F57="",G49=""),"",
IF(AND(Copa2022!F57=G49,Copa2022!H57=I49),Regras!$J$25,IF(Y49=Regras!F71,Regras!$J$26,0)))</f>
        <v/>
      </c>
      <c r="M49" s="495"/>
      <c r="N49" s="318"/>
      <c r="O49" s="347">
        <v>4</v>
      </c>
      <c r="P49" s="348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 x14ac:dyDescent="0.25">
      <c r="A50" s="477" t="s">
        <v>331</v>
      </c>
      <c r="B50" s="486"/>
      <c r="C50" s="173">
        <v>44897</v>
      </c>
      <c r="D50" s="195" t="s">
        <v>132</v>
      </c>
      <c r="E50" s="178" t="s">
        <v>164</v>
      </c>
      <c r="F50" s="19" t="s">
        <v>152</v>
      </c>
      <c r="G50" s="341">
        <v>0</v>
      </c>
      <c r="H50" s="342" t="s">
        <v>0</v>
      </c>
      <c r="I50" s="343">
        <v>2</v>
      </c>
      <c r="J50" s="130" t="s">
        <v>2</v>
      </c>
      <c r="K50" s="52"/>
      <c r="L50" s="495" t="str">
        <f>IF(OR(Copa2022!F58="",G50=""),"",
IF(AND(Copa2022!F58=G50,Copa2022!H58=I50),Regras!$J$25,IF(Y50=Regras!F72,Regras!$J$26,0)))</f>
        <v/>
      </c>
      <c r="M50" s="495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x14ac:dyDescent="0.2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 x14ac:dyDescent="0.25">
      <c r="B52" s="44"/>
      <c r="C52" s="506" t="s">
        <v>124</v>
      </c>
      <c r="D52" s="507"/>
      <c r="E52" s="507"/>
      <c r="F52" s="507"/>
      <c r="G52" s="507"/>
      <c r="H52" s="507"/>
      <c r="I52" s="507"/>
      <c r="J52" s="507"/>
      <c r="K52" s="507"/>
      <c r="L52" s="507"/>
      <c r="M52" s="508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 x14ac:dyDescent="0.25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4" t="s">
        <v>78</v>
      </c>
      <c r="M53" s="505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 x14ac:dyDescent="0.25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 x14ac:dyDescent="0.25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 x14ac:dyDescent="0.25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 x14ac:dyDescent="0.25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 x14ac:dyDescent="0.25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 x14ac:dyDescent="0.25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 x14ac:dyDescent="0.25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 x14ac:dyDescent="0.25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 x14ac:dyDescent="0.25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23" t="s">
        <v>78</v>
      </c>
      <c r="M62" s="524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 x14ac:dyDescent="0.25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 x14ac:dyDescent="0.25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 x14ac:dyDescent="0.25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 x14ac:dyDescent="0.25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 x14ac:dyDescent="0.25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20" t="s">
        <v>78</v>
      </c>
      <c r="M67" s="522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 x14ac:dyDescent="0.25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 x14ac:dyDescent="0.25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 x14ac:dyDescent="0.25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20" t="s">
        <v>78</v>
      </c>
      <c r="M70" s="522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 x14ac:dyDescent="0.25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 x14ac:dyDescent="0.25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20" t="s">
        <v>78</v>
      </c>
      <c r="M72" s="521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 x14ac:dyDescent="0.25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 x14ac:dyDescent="0.2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 x14ac:dyDescent="0.25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 x14ac:dyDescent="0.25">
      <c r="C76" s="2"/>
      <c r="D76" s="2"/>
      <c r="E76" s="125" t="s">
        <v>83</v>
      </c>
      <c r="F76" s="511">
        <f>'2ª Fase'!E40:I40</f>
        <v>0</v>
      </c>
      <c r="G76" s="511"/>
      <c r="H76" s="511"/>
      <c r="I76" s="511"/>
      <c r="J76" s="512"/>
      <c r="K76" s="50"/>
      <c r="L76" s="1"/>
      <c r="M76" s="1"/>
    </row>
    <row r="77" spans="1:25" ht="15" customHeight="1" x14ac:dyDescent="0.2">
      <c r="C77" s="2"/>
      <c r="D77" s="2"/>
      <c r="E77" s="126" t="s">
        <v>84</v>
      </c>
      <c r="F77" s="513">
        <f>'2ª Fase'!E41:I41</f>
        <v>0</v>
      </c>
      <c r="G77" s="513"/>
      <c r="H77" s="513"/>
      <c r="I77" s="513"/>
      <c r="J77" s="514"/>
      <c r="K77" s="50"/>
      <c r="L77" s="1"/>
      <c r="M77" s="1"/>
    </row>
    <row r="78" spans="1:25" ht="15" customHeight="1" x14ac:dyDescent="0.2">
      <c r="C78" s="2"/>
      <c r="D78" s="2"/>
      <c r="E78" s="127" t="s">
        <v>102</v>
      </c>
      <c r="F78" s="515">
        <f>'2ª Fase'!E42:I42</f>
        <v>0</v>
      </c>
      <c r="G78" s="515"/>
      <c r="H78" s="515"/>
      <c r="I78" s="515"/>
      <c r="J78" s="516"/>
      <c r="K78" s="50"/>
      <c r="L78" s="1"/>
      <c r="M78" s="1"/>
    </row>
    <row r="79" spans="1:25" ht="15" customHeight="1" thickBot="1" x14ac:dyDescent="0.25">
      <c r="C79" s="2"/>
      <c r="D79" s="2"/>
      <c r="E79" s="128" t="s">
        <v>103</v>
      </c>
      <c r="F79" s="517">
        <f>'2ª Fase'!E43:I43</f>
        <v>0</v>
      </c>
      <c r="G79" s="517"/>
      <c r="H79" s="517"/>
      <c r="I79" s="517"/>
      <c r="J79" s="518"/>
      <c r="K79" s="50"/>
      <c r="L79" s="1"/>
      <c r="M79" s="1"/>
    </row>
    <row r="80" spans="1:25" ht="15" hidden="1" customHeight="1" x14ac:dyDescent="0.2">
      <c r="C80" s="2"/>
      <c r="D80" s="2"/>
      <c r="E80" s="192"/>
      <c r="F80" s="509"/>
      <c r="G80" s="509"/>
      <c r="H80" s="509"/>
      <c r="I80" s="509"/>
      <c r="J80" s="510"/>
      <c r="K80" s="50"/>
      <c r="L80" s="129"/>
      <c r="M80" s="1"/>
    </row>
    <row r="81" spans="3:13" ht="15.75" x14ac:dyDescent="0.2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 x14ac:dyDescent="0.2"/>
    <row r="90" spans="3:13" ht="15.75" customHeight="1" x14ac:dyDescent="0.2"/>
    <row r="91" spans="3:13" ht="15.75" customHeight="1" x14ac:dyDescent="0.2"/>
    <row r="92" spans="3:13" ht="15.75" customHeight="1" x14ac:dyDescent="0.2"/>
    <row r="93" spans="3:13" ht="15.75" customHeight="1" x14ac:dyDescent="0.2"/>
    <row r="94" spans="3:13" ht="15.75" customHeight="1" x14ac:dyDescent="0.2"/>
    <row r="95" spans="3:13" ht="15.75" customHeight="1" x14ac:dyDescent="0.2"/>
    <row r="96" spans="3:13" ht="15.75" customHeight="1" x14ac:dyDescent="0.2"/>
    <row r="117" spans="2:25" s="9" customFormat="1" ht="15.75" hidden="1" x14ac:dyDescent="0.2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F76:J76"/>
    <mergeCell ref="F77:J77"/>
    <mergeCell ref="F78:J78"/>
    <mergeCell ref="F79:J79"/>
    <mergeCell ref="F80:J80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B39:B44"/>
    <mergeCell ref="L39:M39"/>
    <mergeCell ref="O39:P39"/>
    <mergeCell ref="L40:M40"/>
    <mergeCell ref="L41:M41"/>
    <mergeCell ref="L42:M42"/>
    <mergeCell ref="L43:M43"/>
    <mergeCell ref="L44:M44"/>
    <mergeCell ref="B33:B38"/>
    <mergeCell ref="L33:M33"/>
    <mergeCell ref="O33:P33"/>
    <mergeCell ref="L34:M34"/>
    <mergeCell ref="L35:M35"/>
    <mergeCell ref="L36:M36"/>
    <mergeCell ref="L37:M37"/>
    <mergeCell ref="L38:M38"/>
    <mergeCell ref="B27:B32"/>
    <mergeCell ref="L27:M27"/>
    <mergeCell ref="O27:P27"/>
    <mergeCell ref="L28:M28"/>
    <mergeCell ref="L29:M29"/>
    <mergeCell ref="L30:M30"/>
    <mergeCell ref="L31:M31"/>
    <mergeCell ref="L32:M32"/>
    <mergeCell ref="B21:B26"/>
    <mergeCell ref="L21:M21"/>
    <mergeCell ref="O21:P21"/>
    <mergeCell ref="L22:M22"/>
    <mergeCell ref="L23:M23"/>
    <mergeCell ref="L24:M24"/>
    <mergeCell ref="L25:M25"/>
    <mergeCell ref="L26:M26"/>
    <mergeCell ref="B15:B20"/>
    <mergeCell ref="L15:M15"/>
    <mergeCell ref="O15:P15"/>
    <mergeCell ref="L16:M16"/>
    <mergeCell ref="L17:M17"/>
    <mergeCell ref="L18:M18"/>
    <mergeCell ref="L19:M19"/>
    <mergeCell ref="L20:M20"/>
    <mergeCell ref="B9:B14"/>
    <mergeCell ref="L9:M9"/>
    <mergeCell ref="O9:P9"/>
    <mergeCell ref="L10:M10"/>
    <mergeCell ref="L11:M11"/>
    <mergeCell ref="L12:M12"/>
    <mergeCell ref="L13:M13"/>
    <mergeCell ref="L14:M14"/>
    <mergeCell ref="B3:B8"/>
    <mergeCell ref="L3:M3"/>
    <mergeCell ref="O3:P3"/>
    <mergeCell ref="L4:M4"/>
    <mergeCell ref="L5:M5"/>
    <mergeCell ref="L6:M6"/>
    <mergeCell ref="L7:M7"/>
    <mergeCell ref="L8:M8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574" priority="51" stopIfTrue="1" operator="equal">
      <formula>#REF!</formula>
    </cfRule>
  </conditionalFormatting>
  <conditionalFormatting sqref="M54:N54">
    <cfRule type="expression" dxfId="573" priority="50">
      <formula>$H$14="penaltis"</formula>
    </cfRule>
  </conditionalFormatting>
  <conditionalFormatting sqref="L55:N55">
    <cfRule type="expression" dxfId="572" priority="49">
      <formula>$H$15="penaltis"</formula>
    </cfRule>
  </conditionalFormatting>
  <conditionalFormatting sqref="L56:N56">
    <cfRule type="expression" dxfId="571" priority="48">
      <formula>$H$16="penaltis"</formula>
    </cfRule>
  </conditionalFormatting>
  <conditionalFormatting sqref="L57:N57">
    <cfRule type="expression" dxfId="570" priority="47">
      <formula>$H$17="penaltis"</formula>
    </cfRule>
  </conditionalFormatting>
  <conditionalFormatting sqref="L58:N58">
    <cfRule type="expression" dxfId="569" priority="46">
      <formula>$H$18="penaltis"</formula>
    </cfRule>
  </conditionalFormatting>
  <conditionalFormatting sqref="L59:N59">
    <cfRule type="expression" dxfId="568" priority="45">
      <formula>$H$19="penaltis"</formula>
    </cfRule>
  </conditionalFormatting>
  <conditionalFormatting sqref="L60:N60">
    <cfRule type="expression" dxfId="567" priority="44">
      <formula>$H$20="penaltis"</formula>
    </cfRule>
  </conditionalFormatting>
  <conditionalFormatting sqref="L61:N61">
    <cfRule type="expression" dxfId="566" priority="43">
      <formula>$H$21="penaltis"</formula>
    </cfRule>
  </conditionalFormatting>
  <conditionalFormatting sqref="N63">
    <cfRule type="expression" dxfId="565" priority="42">
      <formula>$H$23="penaltis"</formula>
    </cfRule>
  </conditionalFormatting>
  <conditionalFormatting sqref="N64">
    <cfRule type="expression" dxfId="564" priority="41" stopIfTrue="1">
      <formula>$H$24="penaltis"</formula>
    </cfRule>
  </conditionalFormatting>
  <conditionalFormatting sqref="N65">
    <cfRule type="expression" dxfId="563" priority="40" stopIfTrue="1">
      <formula>$H$25="penaltis"</formula>
    </cfRule>
  </conditionalFormatting>
  <conditionalFormatting sqref="N66">
    <cfRule type="expression" dxfId="562" priority="39" stopIfTrue="1">
      <formula>$H$26="penaltis"</formula>
    </cfRule>
  </conditionalFormatting>
  <conditionalFormatting sqref="N68">
    <cfRule type="expression" dxfId="561" priority="38" stopIfTrue="1">
      <formula>$H$28="penaltis"</formula>
    </cfRule>
  </conditionalFormatting>
  <conditionalFormatting sqref="N69">
    <cfRule type="expression" dxfId="560" priority="37" stopIfTrue="1">
      <formula>$H$29="penaltis"</formula>
    </cfRule>
  </conditionalFormatting>
  <conditionalFormatting sqref="N71">
    <cfRule type="expression" dxfId="559" priority="36" stopIfTrue="1">
      <formula>$H$31="penaltis"</formula>
    </cfRule>
  </conditionalFormatting>
  <conditionalFormatting sqref="N73">
    <cfRule type="expression" dxfId="558" priority="35" stopIfTrue="1">
      <formula>$H$33="penaltis"</formula>
    </cfRule>
  </conditionalFormatting>
  <conditionalFormatting sqref="L54:M54">
    <cfRule type="expression" dxfId="557" priority="34" stopIfTrue="1">
      <formula>$K$54="penaltis"</formula>
    </cfRule>
  </conditionalFormatting>
  <conditionalFormatting sqref="L55:M55">
    <cfRule type="expression" dxfId="556" priority="33" stopIfTrue="1">
      <formula>$K$55="penaltis"</formula>
    </cfRule>
  </conditionalFormatting>
  <conditionalFormatting sqref="L56:M56">
    <cfRule type="expression" dxfId="555" priority="32" stopIfTrue="1">
      <formula>$K$56="penaltis"</formula>
    </cfRule>
  </conditionalFormatting>
  <conditionalFormatting sqref="L57:M57">
    <cfRule type="expression" dxfId="554" priority="31" stopIfTrue="1">
      <formula>$K$57="penaltis"</formula>
    </cfRule>
  </conditionalFormatting>
  <conditionalFormatting sqref="L58:M58">
    <cfRule type="expression" dxfId="553" priority="30" stopIfTrue="1">
      <formula>$K$58="penaltis"</formula>
    </cfRule>
  </conditionalFormatting>
  <conditionalFormatting sqref="L59:M59">
    <cfRule type="expression" dxfId="552" priority="29" stopIfTrue="1">
      <formula>$K$59="penaltis"</formula>
    </cfRule>
  </conditionalFormatting>
  <conditionalFormatting sqref="L60:M60">
    <cfRule type="expression" dxfId="551" priority="28" stopIfTrue="1">
      <formula>$K$60="penaltis"</formula>
    </cfRule>
  </conditionalFormatting>
  <conditionalFormatting sqref="L61:M61">
    <cfRule type="expression" dxfId="550" priority="27" stopIfTrue="1">
      <formula>$K$61="penaltis"</formula>
    </cfRule>
  </conditionalFormatting>
  <conditionalFormatting sqref="L63:M63">
    <cfRule type="expression" dxfId="549" priority="26">
      <formula>$K$63="penaltis"</formula>
    </cfRule>
  </conditionalFormatting>
  <conditionalFormatting sqref="L64:M64">
    <cfRule type="expression" dxfId="548" priority="25">
      <formula>$K$64="penaltis"</formula>
    </cfRule>
  </conditionalFormatting>
  <conditionalFormatting sqref="L65:M65">
    <cfRule type="expression" dxfId="547" priority="24">
      <formula>$K$65="penaltis"</formula>
    </cfRule>
  </conditionalFormatting>
  <conditionalFormatting sqref="L66:M66">
    <cfRule type="expression" dxfId="546" priority="23">
      <formula>$K$66="penaltis"</formula>
    </cfRule>
  </conditionalFormatting>
  <conditionalFormatting sqref="L68:M68">
    <cfRule type="expression" dxfId="545" priority="22">
      <formula>$K$68="penaltis"</formula>
    </cfRule>
  </conditionalFormatting>
  <conditionalFormatting sqref="L69:M69">
    <cfRule type="expression" dxfId="544" priority="21">
      <formula>$K$69="penaltis"</formula>
    </cfRule>
  </conditionalFormatting>
  <conditionalFormatting sqref="L71:M71">
    <cfRule type="expression" dxfId="543" priority="20">
      <formula>$K$71="penaltis"</formula>
    </cfRule>
  </conditionalFormatting>
  <conditionalFormatting sqref="L73:M73">
    <cfRule type="expression" dxfId="542" priority="19">
      <formula>$K$73="penaltis"</formula>
    </cfRule>
  </conditionalFormatting>
  <conditionalFormatting sqref="Q4:X5">
    <cfRule type="expression" dxfId="541" priority="18">
      <formula>$R$8=12</formula>
    </cfRule>
  </conditionalFormatting>
  <conditionalFormatting sqref="Q10:X11">
    <cfRule type="expression" dxfId="540" priority="17">
      <formula>$R$14=12</formula>
    </cfRule>
  </conditionalFormatting>
  <conditionalFormatting sqref="Q16:X17">
    <cfRule type="expression" dxfId="539" priority="16">
      <formula>$R$20=12</formula>
    </cfRule>
  </conditionalFormatting>
  <conditionalFormatting sqref="Q22:X23">
    <cfRule type="expression" dxfId="538" priority="15">
      <formula>$R$26=12</formula>
    </cfRule>
  </conditionalFormatting>
  <conditionalFormatting sqref="Q28:X29">
    <cfRule type="expression" dxfId="537" priority="14">
      <formula>$R$32=12</formula>
    </cfRule>
  </conditionalFormatting>
  <conditionalFormatting sqref="Q34:X35">
    <cfRule type="expression" dxfId="536" priority="13">
      <formula>$R$38=12</formula>
    </cfRule>
  </conditionalFormatting>
  <conditionalFormatting sqref="Q40:X41">
    <cfRule type="expression" dxfId="535" priority="12">
      <formula>$R$44=12</formula>
    </cfRule>
  </conditionalFormatting>
  <conditionalFormatting sqref="Q46:X47">
    <cfRule type="expression" dxfId="534" priority="11">
      <formula>$R$50=12</formula>
    </cfRule>
  </conditionalFormatting>
  <conditionalFormatting sqref="F62:J73 B45 B9 B15 B21 B27 B33 B3 F3:F50 J3:J50">
    <cfRule type="cellIs" dxfId="533" priority="52" stopIfTrue="1" operator="equal">
      <formula>#REF!</formula>
    </cfRule>
  </conditionalFormatting>
  <conditionalFormatting sqref="B39">
    <cfRule type="cellIs" dxfId="532" priority="10" stopIfTrue="1" operator="equal">
      <formula>#REF!</formula>
    </cfRule>
  </conditionalFormatting>
  <conditionalFormatting sqref="F54:J61">
    <cfRule type="cellIs" dxfId="531" priority="9" stopIfTrue="1" operator="equal">
      <formula>$Z$7</formula>
    </cfRule>
  </conditionalFormatting>
  <conditionalFormatting sqref="O4:P5">
    <cfRule type="expression" dxfId="530" priority="8">
      <formula>$R$16=12</formula>
    </cfRule>
  </conditionalFormatting>
  <conditionalFormatting sqref="O10:P11">
    <cfRule type="expression" dxfId="529" priority="7">
      <formula>$R$22=12</formula>
    </cfRule>
  </conditionalFormatting>
  <conditionalFormatting sqref="O16:P17">
    <cfRule type="expression" dxfId="528" priority="6">
      <formula>$R$28=12</formula>
    </cfRule>
  </conditionalFormatting>
  <conditionalFormatting sqref="O22:P23">
    <cfRule type="expression" dxfId="527" priority="5">
      <formula>$R$34=12</formula>
    </cfRule>
  </conditionalFormatting>
  <conditionalFormatting sqref="O28:P29">
    <cfRule type="expression" dxfId="526" priority="4">
      <formula>$R$40=12</formula>
    </cfRule>
  </conditionalFormatting>
  <conditionalFormatting sqref="O34:P35">
    <cfRule type="expression" dxfId="525" priority="3">
      <formula>$R$46=12</formula>
    </cfRule>
  </conditionalFormatting>
  <conditionalFormatting sqref="O40:P41">
    <cfRule type="expression" dxfId="524" priority="2">
      <formula>$R$52=12</formula>
    </cfRule>
  </conditionalFormatting>
  <conditionalFormatting sqref="O46:P47">
    <cfRule type="expression" dxfId="523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 xr:uid="{00000000-0002-0000-0A00-000000000000}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HW117"/>
  <sheetViews>
    <sheetView topLeftCell="A17" workbookViewId="0">
      <selection activeCell="F3" sqref="F3:J50"/>
    </sheetView>
  </sheetViews>
  <sheetFormatPr defaultColWidth="0" defaultRowHeight="0" customHeight="1" zeroHeight="1" x14ac:dyDescent="0.2"/>
  <cols>
    <col min="1" max="1" width="6.3203125" customWidth="1"/>
    <col min="2" max="2" width="6.05078125" style="5" bestFit="1" customWidth="1"/>
    <col min="3" max="3" width="9.81640625" style="10" bestFit="1" customWidth="1"/>
    <col min="4" max="4" width="5.24609375" style="10" bestFit="1" customWidth="1"/>
    <col min="5" max="5" width="17.75390625" style="10" bestFit="1" customWidth="1"/>
    <col min="6" max="6" width="25.69140625" style="11" customWidth="1"/>
    <col min="7" max="7" width="2.6875" style="42" customWidth="1"/>
    <col min="8" max="8" width="2.6875" customWidth="1"/>
    <col min="9" max="9" width="2.6875" style="42" customWidth="1"/>
    <col min="10" max="10" width="25.69140625" style="12" customWidth="1"/>
    <col min="11" max="11" width="13.31640625" style="51" hidden="1" customWidth="1"/>
    <col min="12" max="13" width="3.2265625" customWidth="1"/>
    <col min="14" max="14" width="2.82421875" style="1" customWidth="1"/>
    <col min="15" max="15" width="2.015625" style="109" bestFit="1" customWidth="1"/>
    <col min="16" max="16" width="26.09765625" style="113" customWidth="1"/>
    <col min="17" max="17" width="4.70703125" style="322" customWidth="1"/>
    <col min="18" max="18" width="3.765625" style="322" customWidth="1"/>
    <col min="19" max="19" width="1.8828125" style="322" customWidth="1"/>
    <col min="20" max="20" width="2.28515625" style="322" customWidth="1"/>
    <col min="21" max="21" width="3.765625" style="322" customWidth="1"/>
    <col min="22" max="22" width="2.015625" style="322" customWidth="1"/>
    <col min="23" max="24" width="3.765625" style="322" hidden="1" customWidth="1"/>
    <col min="25" max="25" width="12.9140625" style="1" customWidth="1"/>
    <col min="26" max="36" width="9.14453125" hidden="1" customWidth="1"/>
    <col min="37" max="37" width="8.47265625" hidden="1" customWidth="1"/>
    <col min="38" max="38" width="8.7421875" hidden="1" customWidth="1"/>
    <col min="39" max="39" width="10.0859375" hidden="1" customWidth="1"/>
    <col min="40" max="230" width="9.14453125" hidden="1" customWidth="1"/>
    <col min="231" max="231" width="7.26171875" hidden="1" customWidth="1"/>
    <col min="232" max="16384" width="9.14453125" hidden="1"/>
  </cols>
  <sheetData>
    <row r="1" spans="1:25" s="58" customFormat="1" ht="15" customHeight="1" x14ac:dyDescent="0.2">
      <c r="B1" s="496" t="s">
        <v>94</v>
      </c>
      <c r="C1" s="498" t="s">
        <v>95</v>
      </c>
      <c r="D1" s="498" t="s">
        <v>74</v>
      </c>
      <c r="E1" s="500" t="s">
        <v>75</v>
      </c>
      <c r="F1" s="487" t="s">
        <v>96</v>
      </c>
      <c r="G1" s="488"/>
      <c r="H1" s="488"/>
      <c r="I1" s="488"/>
      <c r="J1" s="489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 x14ac:dyDescent="0.25">
      <c r="B2" s="497"/>
      <c r="C2" s="499"/>
      <c r="D2" s="499"/>
      <c r="E2" s="501"/>
      <c r="F2" s="490"/>
      <c r="G2" s="491"/>
      <c r="H2" s="491"/>
      <c r="I2" s="491"/>
      <c r="J2" s="492"/>
      <c r="K2" s="51"/>
      <c r="L2" s="493"/>
      <c r="M2" s="494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 x14ac:dyDescent="0.25">
      <c r="A3" s="60" t="s">
        <v>284</v>
      </c>
      <c r="B3" s="48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26">
        <v>1</v>
      </c>
      <c r="H3" s="327" t="s">
        <v>0</v>
      </c>
      <c r="I3" s="336">
        <v>1</v>
      </c>
      <c r="J3" s="77" t="s">
        <v>142</v>
      </c>
      <c r="K3" s="52"/>
      <c r="L3" s="495">
        <f>IF(OR(Copa2022!F11="",G3=""),"",
IF(AND(Copa2022!F11=G3,Copa2022!H11=I3),Regras!$J$25,IF(Y3=Regras!F25,Regras!$J$26,0)))</f>
        <v>0</v>
      </c>
      <c r="M3" s="495"/>
      <c r="N3" s="318"/>
      <c r="O3" s="502" t="s">
        <v>220</v>
      </c>
      <c r="P3" s="526"/>
      <c r="Q3" s="324" t="str">
        <f>IF(Copa2022!F16="","",IF(Copa2022!O12=Flavio!P4,Regras!$J$27,0))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empate</v>
      </c>
    </row>
    <row r="4" spans="1:25" s="60" customFormat="1" ht="35.1" customHeight="1" x14ac:dyDescent="0.2">
      <c r="A4" s="60" t="s">
        <v>285</v>
      </c>
      <c r="B4" s="485"/>
      <c r="C4" s="171">
        <v>44886</v>
      </c>
      <c r="D4" s="194" t="s">
        <v>134</v>
      </c>
      <c r="E4" s="172" t="s">
        <v>157</v>
      </c>
      <c r="F4" s="78" t="s">
        <v>131</v>
      </c>
      <c r="G4" s="328">
        <v>1</v>
      </c>
      <c r="H4" s="329" t="s">
        <v>0</v>
      </c>
      <c r="I4" s="337">
        <v>2</v>
      </c>
      <c r="J4" s="81" t="s">
        <v>140</v>
      </c>
      <c r="K4" s="52"/>
      <c r="L4" s="495">
        <f>IF(OR(Copa2022!F12="",G4=""),"",
IF(AND(Copa2022!F12=G4,Copa2022!H12=I4),Regras!$J$25,IF(Y4=Regras!F26,Regras!$J$26,0)))</f>
        <v>5</v>
      </c>
      <c r="M4" s="495"/>
      <c r="N4" s="318"/>
      <c r="O4" s="346">
        <v>1</v>
      </c>
      <c r="P4" s="345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 x14ac:dyDescent="0.25">
      <c r="A5" s="60" t="s">
        <v>286</v>
      </c>
      <c r="B5" s="485"/>
      <c r="C5" s="171">
        <v>44890</v>
      </c>
      <c r="D5" s="194" t="s">
        <v>135</v>
      </c>
      <c r="E5" s="172" t="s">
        <v>157</v>
      </c>
      <c r="F5" s="78" t="s">
        <v>141</v>
      </c>
      <c r="G5" s="328">
        <v>0</v>
      </c>
      <c r="H5" s="329" t="s">
        <v>0</v>
      </c>
      <c r="I5" s="337">
        <v>2</v>
      </c>
      <c r="J5" s="81" t="s">
        <v>131</v>
      </c>
      <c r="K5" s="52"/>
      <c r="L5" s="495" t="str">
        <f>IF(OR(Copa2022!F13="",G5=""),"",
IF(AND(Copa2022!F13=G5,Copa2022!H13=I5),Regras!$J$25,IF(Y5=Regras!F27,Regras!$J$26,0)))</f>
        <v/>
      </c>
      <c r="M5" s="495"/>
      <c r="N5" s="318"/>
      <c r="O5" s="349">
        <v>2</v>
      </c>
      <c r="P5" s="350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 x14ac:dyDescent="0.2">
      <c r="A6" s="60" t="s">
        <v>287</v>
      </c>
      <c r="B6" s="485"/>
      <c r="C6" s="171">
        <v>44890</v>
      </c>
      <c r="D6" s="194" t="s">
        <v>134</v>
      </c>
      <c r="E6" s="172" t="s">
        <v>143</v>
      </c>
      <c r="F6" s="78" t="s">
        <v>140</v>
      </c>
      <c r="G6" s="328">
        <v>2</v>
      </c>
      <c r="H6" s="329" t="s">
        <v>0</v>
      </c>
      <c r="I6" s="337">
        <v>0</v>
      </c>
      <c r="J6" s="81" t="s">
        <v>142</v>
      </c>
      <c r="K6" s="52"/>
      <c r="L6" s="495" t="str">
        <f>IF(OR(Copa2022!F14="",G6=""),"",
IF(AND(Copa2022!F14=G6,Copa2022!H14=I6),Regras!$J$25,IF(Y6=Regras!F28,Regras!$J$26,0)))</f>
        <v/>
      </c>
      <c r="M6" s="495"/>
      <c r="N6" s="318"/>
      <c r="O6" s="346">
        <v>3</v>
      </c>
      <c r="P6" s="345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 x14ac:dyDescent="0.25">
      <c r="A7" s="60" t="s">
        <v>288</v>
      </c>
      <c r="B7" s="485"/>
      <c r="C7" s="171">
        <v>44894</v>
      </c>
      <c r="D7" s="194" t="s">
        <v>132</v>
      </c>
      <c r="E7" s="172" t="s">
        <v>161</v>
      </c>
      <c r="F7" s="78" t="s">
        <v>140</v>
      </c>
      <c r="G7" s="328">
        <v>3</v>
      </c>
      <c r="H7" s="329" t="s">
        <v>0</v>
      </c>
      <c r="I7" s="337">
        <v>1</v>
      </c>
      <c r="J7" s="81" t="s">
        <v>141</v>
      </c>
      <c r="K7" s="52"/>
      <c r="L7" s="495" t="str">
        <f>IF(OR(Copa2022!F15="",G7=""),"",
IF(AND(Copa2022!F15=G7,Copa2022!H15=I7),Regras!$J$25,IF(Y7=Regras!F29,Regras!$J$26,0)))</f>
        <v/>
      </c>
      <c r="M7" s="495"/>
      <c r="N7" s="318"/>
      <c r="O7" s="347">
        <v>4</v>
      </c>
      <c r="P7" s="348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 x14ac:dyDescent="0.25">
      <c r="A8" s="60" t="s">
        <v>289</v>
      </c>
      <c r="B8" s="486"/>
      <c r="C8" s="173">
        <v>44590</v>
      </c>
      <c r="D8" s="195" t="s">
        <v>132</v>
      </c>
      <c r="E8" s="174" t="s">
        <v>143</v>
      </c>
      <c r="F8" s="86" t="s">
        <v>142</v>
      </c>
      <c r="G8" s="332">
        <v>1</v>
      </c>
      <c r="H8" s="333" t="s">
        <v>0</v>
      </c>
      <c r="I8" s="338">
        <v>1</v>
      </c>
      <c r="J8" s="89" t="s">
        <v>131</v>
      </c>
      <c r="K8" s="52"/>
      <c r="L8" s="495" t="str">
        <f>IF(OR(Copa2022!F16="",G8=""),"",
IF(AND(Copa2022!F16=G8,Copa2022!H16=I8),Regras!$J$25,IF(Y8=Regras!F30,Regras!$J$26,0)))</f>
        <v/>
      </c>
      <c r="M8" s="495"/>
      <c r="N8" s="318"/>
      <c r="O8" s="353"/>
      <c r="P8" s="354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 x14ac:dyDescent="0.25">
      <c r="A9" s="60" t="s">
        <v>290</v>
      </c>
      <c r="B9" s="48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30">
        <v>1</v>
      </c>
      <c r="H9" s="331" t="s">
        <v>0</v>
      </c>
      <c r="I9" s="339">
        <v>0</v>
      </c>
      <c r="J9" s="85" t="s">
        <v>123</v>
      </c>
      <c r="K9" s="52"/>
      <c r="L9" s="495">
        <f>IF(OR(Copa2022!F17="",G9=""),"",
IF(AND(Copa2022!F17=G9,Copa2022!H17=I9),Regras!$J$25,IF(Y9=Regras!F31,Regras!$J$26,0)))</f>
        <v>5</v>
      </c>
      <c r="M9" s="495"/>
      <c r="N9" s="318"/>
      <c r="O9" s="502" t="s">
        <v>48</v>
      </c>
      <c r="P9" s="503"/>
      <c r="Q9" s="324" t="str">
        <f>IF(Copa2022!F22="","",IF(Copa2022!O18=Flavio!P10,Regras!$J$27,0))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 x14ac:dyDescent="0.2">
      <c r="A10" s="60" t="s">
        <v>291</v>
      </c>
      <c r="B10" s="485"/>
      <c r="C10" s="171">
        <v>44886</v>
      </c>
      <c r="D10" s="194" t="s">
        <v>136</v>
      </c>
      <c r="E10" s="177" t="s">
        <v>162</v>
      </c>
      <c r="F10" s="78" t="s">
        <v>145</v>
      </c>
      <c r="G10" s="328">
        <v>1</v>
      </c>
      <c r="H10" s="329" t="s">
        <v>0</v>
      </c>
      <c r="I10" s="337">
        <v>0</v>
      </c>
      <c r="J10" s="81" t="s">
        <v>158</v>
      </c>
      <c r="K10" s="52"/>
      <c r="L10" s="495">
        <f>IF(OR(Copa2022!F18="",G10=""),"",
IF(AND(Copa2022!F18=G10,Copa2022!H18=I10),Regras!$J$25,IF(Y10=Regras!F32,Regras!$J$26,0)))</f>
        <v>0</v>
      </c>
      <c r="M10" s="495"/>
      <c r="N10" s="318"/>
      <c r="O10" s="346">
        <v>1</v>
      </c>
      <c r="P10" s="345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Estados Unidos</v>
      </c>
    </row>
    <row r="11" spans="1:25" s="60" customFormat="1" ht="35.1" customHeight="1" thickBot="1" x14ac:dyDescent="0.25">
      <c r="A11" s="60" t="s">
        <v>292</v>
      </c>
      <c r="B11" s="485"/>
      <c r="C11" s="171">
        <v>44890</v>
      </c>
      <c r="D11" s="194" t="s">
        <v>133</v>
      </c>
      <c r="E11" s="177" t="s">
        <v>162</v>
      </c>
      <c r="F11" s="78" t="s">
        <v>158</v>
      </c>
      <c r="G11" s="328">
        <v>1</v>
      </c>
      <c r="H11" s="329" t="s">
        <v>0</v>
      </c>
      <c r="I11" s="337">
        <v>1</v>
      </c>
      <c r="J11" s="81" t="s">
        <v>123</v>
      </c>
      <c r="K11" s="52"/>
      <c r="L11" s="495" t="str">
        <f>IF(OR(Copa2022!F19="",G11=""),"",
IF(AND(Copa2022!F19=G11,Copa2022!H19=I11),Regras!$J$25,IF(Y11=Regras!F33,Regras!$J$26,0)))</f>
        <v/>
      </c>
      <c r="M11" s="495"/>
      <c r="N11" s="318"/>
      <c r="O11" s="349">
        <v>2</v>
      </c>
      <c r="P11" s="350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 x14ac:dyDescent="0.2">
      <c r="A12" s="60" t="s">
        <v>293</v>
      </c>
      <c r="B12" s="485"/>
      <c r="C12" s="171">
        <v>44890</v>
      </c>
      <c r="D12" s="194" t="s">
        <v>136</v>
      </c>
      <c r="E12" s="177" t="s">
        <v>161</v>
      </c>
      <c r="F12" s="78" t="s">
        <v>6</v>
      </c>
      <c r="G12" s="328">
        <v>2</v>
      </c>
      <c r="H12" s="329" t="s">
        <v>0</v>
      </c>
      <c r="I12" s="337">
        <v>1</v>
      </c>
      <c r="J12" s="81" t="s">
        <v>145</v>
      </c>
      <c r="K12" s="52"/>
      <c r="L12" s="495" t="str">
        <f>IF(OR(Copa2022!F20="",G12=""),"",
IF(AND(Copa2022!F20=G12,Copa2022!H20=I12),Regras!$J$25,IF(Y12=Regras!F34,Regras!$J$26,0)))</f>
        <v/>
      </c>
      <c r="M12" s="495"/>
      <c r="N12" s="318"/>
      <c r="O12" s="346">
        <v>3</v>
      </c>
      <c r="P12" s="345" t="s">
        <v>123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 x14ac:dyDescent="0.25">
      <c r="A13" s="60" t="s">
        <v>294</v>
      </c>
      <c r="B13" s="485"/>
      <c r="C13" s="171">
        <v>44894</v>
      </c>
      <c r="D13" s="194" t="s">
        <v>136</v>
      </c>
      <c r="E13" s="177" t="s">
        <v>162</v>
      </c>
      <c r="F13" s="78" t="s">
        <v>158</v>
      </c>
      <c r="G13" s="328">
        <v>0</v>
      </c>
      <c r="H13" s="329" t="s">
        <v>0</v>
      </c>
      <c r="I13" s="337">
        <v>2</v>
      </c>
      <c r="J13" s="81" t="s">
        <v>6</v>
      </c>
      <c r="K13" s="52"/>
      <c r="L13" s="495" t="str">
        <f>IF(OR(Copa2022!F21="",G13=""),"",
IF(AND(Copa2022!F21=G13,Copa2022!H21=I13),Regras!$J$25,IF(Y13=Regras!F35,Regras!$J$26,0)))</f>
        <v/>
      </c>
      <c r="M13" s="495"/>
      <c r="N13" s="318"/>
      <c r="O13" s="347">
        <v>4</v>
      </c>
      <c r="P13" s="348" t="s">
        <v>158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 x14ac:dyDescent="0.25">
      <c r="A14" s="60" t="s">
        <v>295</v>
      </c>
      <c r="B14" s="486"/>
      <c r="C14" s="173">
        <v>44894</v>
      </c>
      <c r="D14" s="195" t="s">
        <v>136</v>
      </c>
      <c r="E14" s="178" t="s">
        <v>157</v>
      </c>
      <c r="F14" s="90" t="s">
        <v>123</v>
      </c>
      <c r="G14" s="334">
        <v>1</v>
      </c>
      <c r="H14" s="335" t="s">
        <v>0</v>
      </c>
      <c r="I14" s="340">
        <v>1</v>
      </c>
      <c r="J14" s="93" t="s">
        <v>145</v>
      </c>
      <c r="K14" s="52"/>
      <c r="L14" s="495" t="str">
        <f>IF(OR(Copa2022!F22="",G14=""),"",
IF(AND(Copa2022!F22=G14,Copa2022!H22=I14),Regras!$J$25,IF(Y14=Regras!F36,Regras!$J$26,0)))</f>
        <v/>
      </c>
      <c r="M14" s="495"/>
      <c r="N14" s="318"/>
      <c r="O14" s="344"/>
      <c r="P14" s="345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 x14ac:dyDescent="0.25">
      <c r="A15" s="60" t="s">
        <v>296</v>
      </c>
      <c r="B15" s="48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26">
        <v>3</v>
      </c>
      <c r="H15" s="327" t="s">
        <v>0</v>
      </c>
      <c r="I15" s="336">
        <v>0</v>
      </c>
      <c r="J15" s="77" t="s">
        <v>125</v>
      </c>
      <c r="K15" s="52"/>
      <c r="L15" s="495">
        <f>IF(OR(Copa2022!F23="",G15=""),"",
IF(AND(Copa2022!F23=G15,Copa2022!H23=I15),Regras!$J$25,IF(Y15=Regras!F37,Regras!$J$26,0)))</f>
        <v>0</v>
      </c>
      <c r="M15" s="495"/>
      <c r="N15" s="318"/>
      <c r="O15" s="502" t="s">
        <v>50</v>
      </c>
      <c r="P15" s="503"/>
      <c r="Q15" s="324" t="str">
        <f>IF(Copa2022!F28="","",IF(Copa2022!O24=Flavio!P16,Regras!$J$27,0))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 x14ac:dyDescent="0.2">
      <c r="A16" s="60" t="s">
        <v>297</v>
      </c>
      <c r="B16" s="485"/>
      <c r="C16" s="171">
        <v>44887</v>
      </c>
      <c r="D16" s="194" t="s">
        <v>134</v>
      </c>
      <c r="E16" s="172" t="s">
        <v>163</v>
      </c>
      <c r="F16" s="78" t="s">
        <v>1</v>
      </c>
      <c r="G16" s="328">
        <v>1</v>
      </c>
      <c r="H16" s="329" t="s">
        <v>0</v>
      </c>
      <c r="I16" s="337">
        <v>1</v>
      </c>
      <c r="J16" s="81" t="s">
        <v>130</v>
      </c>
      <c r="K16" s="52"/>
      <c r="L16" s="495">
        <f>IF(OR(Copa2022!F24="",G16=""),"",
IF(AND(Copa2022!F24=G16,Copa2022!H24=I16),Regras!$J$25,IF(Y16=Regras!F38,Regras!$J$26,0)))</f>
        <v>5</v>
      </c>
      <c r="M16" s="495"/>
      <c r="N16" s="318"/>
      <c r="O16" s="346">
        <v>1</v>
      </c>
      <c r="P16" s="345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empate</v>
      </c>
    </row>
    <row r="17" spans="1:25" s="60" customFormat="1" ht="35.1" customHeight="1" thickBot="1" x14ac:dyDescent="0.25">
      <c r="A17" s="60" t="s">
        <v>298</v>
      </c>
      <c r="B17" s="485"/>
      <c r="C17" s="171">
        <v>44891</v>
      </c>
      <c r="D17" s="194" t="s">
        <v>135</v>
      </c>
      <c r="E17" s="172" t="s">
        <v>148</v>
      </c>
      <c r="F17" s="78" t="s">
        <v>130</v>
      </c>
      <c r="G17" s="328">
        <v>3</v>
      </c>
      <c r="H17" s="329" t="s">
        <v>0</v>
      </c>
      <c r="I17" s="337">
        <v>1</v>
      </c>
      <c r="J17" s="81" t="s">
        <v>125</v>
      </c>
      <c r="K17" s="52"/>
      <c r="L17" s="495" t="str">
        <f>IF(OR(Copa2022!F25="",G17=""),"",
IF(AND(Copa2022!F25=G17,Copa2022!H25=I17),Regras!$J$25,IF(Y17=Regras!F39,Regras!$J$26,0)))</f>
        <v/>
      </c>
      <c r="M17" s="495"/>
      <c r="N17" s="318"/>
      <c r="O17" s="349">
        <v>2</v>
      </c>
      <c r="P17" s="350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 x14ac:dyDescent="0.2">
      <c r="A18" s="60" t="s">
        <v>299</v>
      </c>
      <c r="B18" s="485"/>
      <c r="C18" s="171">
        <v>44891</v>
      </c>
      <c r="D18" s="194" t="s">
        <v>136</v>
      </c>
      <c r="E18" s="172" t="s">
        <v>146</v>
      </c>
      <c r="F18" s="78" t="s">
        <v>4</v>
      </c>
      <c r="G18" s="328">
        <v>2</v>
      </c>
      <c r="H18" s="329" t="s">
        <v>0</v>
      </c>
      <c r="I18" s="337">
        <v>0</v>
      </c>
      <c r="J18" s="81" t="s">
        <v>1</v>
      </c>
      <c r="K18" s="52"/>
      <c r="L18" s="495" t="str">
        <f>IF(OR(Copa2022!F26="",G18=""),"",
IF(AND(Copa2022!F26=G18,Copa2022!H26=I18),Regras!$J$25,IF(Y18=Regras!F40,Regras!$J$26,0)))</f>
        <v/>
      </c>
      <c r="M18" s="495"/>
      <c r="N18" s="318"/>
      <c r="O18" s="346">
        <v>3</v>
      </c>
      <c r="P18" s="345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 x14ac:dyDescent="0.25">
      <c r="A19" s="60" t="s">
        <v>300</v>
      </c>
      <c r="B19" s="485"/>
      <c r="C19" s="171">
        <v>44895</v>
      </c>
      <c r="D19" s="194" t="s">
        <v>136</v>
      </c>
      <c r="E19" s="172" t="s">
        <v>163</v>
      </c>
      <c r="F19" s="78" t="s">
        <v>130</v>
      </c>
      <c r="G19" s="328">
        <v>1</v>
      </c>
      <c r="H19" s="329" t="s">
        <v>0</v>
      </c>
      <c r="I19" s="337">
        <v>3</v>
      </c>
      <c r="J19" s="81" t="s">
        <v>4</v>
      </c>
      <c r="K19" s="52"/>
      <c r="L19" s="495" t="str">
        <f>IF(OR(Copa2022!F27="",G19=""),"",
IF(AND(Copa2022!F27=G19,Copa2022!H27=I19),Regras!$J$25,IF(Y19=Regras!F41,Regras!$J$26,0)))</f>
        <v/>
      </c>
      <c r="M19" s="495"/>
      <c r="N19" s="318"/>
      <c r="O19" s="347">
        <v>4</v>
      </c>
      <c r="P19" s="348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 x14ac:dyDescent="0.25">
      <c r="A20" s="60" t="s">
        <v>301</v>
      </c>
      <c r="B20" s="486"/>
      <c r="C20" s="173">
        <v>44895</v>
      </c>
      <c r="D20" s="195" t="s">
        <v>136</v>
      </c>
      <c r="E20" s="174" t="s">
        <v>146</v>
      </c>
      <c r="F20" s="86" t="s">
        <v>125</v>
      </c>
      <c r="G20" s="332">
        <v>1</v>
      </c>
      <c r="H20" s="333" t="s">
        <v>0</v>
      </c>
      <c r="I20" s="338">
        <v>3</v>
      </c>
      <c r="J20" s="89" t="s">
        <v>1</v>
      </c>
      <c r="K20" s="52"/>
      <c r="L20" s="495" t="str">
        <f>IF(OR(Copa2022!F28="",G20=""),"",
IF(AND(Copa2022!F28=G20,Copa2022!H28=I20),Regras!$J$25,IF(Y20=Regras!F42,Regras!$J$26,0)))</f>
        <v/>
      </c>
      <c r="M20" s="495"/>
      <c r="N20" s="318"/>
      <c r="O20" s="344"/>
      <c r="P20" s="345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 x14ac:dyDescent="0.25">
      <c r="A21" s="60" t="s">
        <v>302</v>
      </c>
      <c r="B21" s="48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30">
        <v>1</v>
      </c>
      <c r="H21" s="331" t="s">
        <v>0</v>
      </c>
      <c r="I21" s="339">
        <v>0</v>
      </c>
      <c r="J21" s="85" t="s">
        <v>129</v>
      </c>
      <c r="K21" s="52"/>
      <c r="L21" s="495">
        <f>IF(OR(Copa2022!F29="",G21=""),"",
IF(AND(Copa2022!F29=G21,Copa2022!H29=I21),Regras!$J$25,IF(Y21=Regras!F43,Regras!$J$26,0)))</f>
        <v>0</v>
      </c>
      <c r="M21" s="495"/>
      <c r="N21" s="318"/>
      <c r="O21" s="502" t="s">
        <v>51</v>
      </c>
      <c r="P21" s="503"/>
      <c r="Q21" s="324" t="str">
        <f>IF(Copa2022!F34="","",IF(Copa2022!O30=Flavio!P22,Regras!$J$27,0))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 x14ac:dyDescent="0.2">
      <c r="A22" s="60" t="s">
        <v>303</v>
      </c>
      <c r="B22" s="485"/>
      <c r="C22" s="171">
        <v>44887</v>
      </c>
      <c r="D22" s="194" t="s">
        <v>136</v>
      </c>
      <c r="E22" s="177" t="s">
        <v>164</v>
      </c>
      <c r="F22" s="78" t="s">
        <v>3</v>
      </c>
      <c r="G22" s="328">
        <v>3</v>
      </c>
      <c r="H22" s="329" t="s">
        <v>0</v>
      </c>
      <c r="I22" s="337">
        <v>0</v>
      </c>
      <c r="J22" s="81" t="s">
        <v>159</v>
      </c>
      <c r="K22" s="52"/>
      <c r="L22" s="495">
        <f>IF(OR(Copa2022!F30="",G22=""),"",
IF(AND(Copa2022!F30=G22,Copa2022!H30=I22),Regras!$J$25,IF(Y22=Regras!F44,Regras!$J$26,0)))</f>
        <v>5</v>
      </c>
      <c r="M22" s="495"/>
      <c r="N22" s="318"/>
      <c r="O22" s="346">
        <v>1</v>
      </c>
      <c r="P22" s="345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 x14ac:dyDescent="0.25">
      <c r="A23" s="60" t="s">
        <v>304</v>
      </c>
      <c r="B23" s="485"/>
      <c r="C23" s="171">
        <v>44891</v>
      </c>
      <c r="D23" s="194" t="s">
        <v>133</v>
      </c>
      <c r="E23" s="177" t="s">
        <v>164</v>
      </c>
      <c r="F23" s="78" t="s">
        <v>129</v>
      </c>
      <c r="G23" s="328">
        <v>2</v>
      </c>
      <c r="H23" s="329" t="s">
        <v>0</v>
      </c>
      <c r="I23" s="337">
        <v>0</v>
      </c>
      <c r="J23" s="81" t="s">
        <v>159</v>
      </c>
      <c r="K23" s="52"/>
      <c r="L23" s="495" t="str">
        <f>IF(OR(Copa2022!F31="",G23=""),"",
IF(AND(Copa2022!F31=G23,Copa2022!H31=I23),Regras!$J$25,IF(Y23=Regras!F45,Regras!$J$26,0)))</f>
        <v/>
      </c>
      <c r="M23" s="495"/>
      <c r="N23" s="318"/>
      <c r="O23" s="349">
        <v>2</v>
      </c>
      <c r="P23" s="350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 x14ac:dyDescent="0.2">
      <c r="A24" s="60" t="s">
        <v>305</v>
      </c>
      <c r="B24" s="485"/>
      <c r="C24" s="171">
        <v>44891</v>
      </c>
      <c r="D24" s="194" t="s">
        <v>134</v>
      </c>
      <c r="E24" s="177" t="s">
        <v>163</v>
      </c>
      <c r="F24" s="78" t="s">
        <v>3</v>
      </c>
      <c r="G24" s="328">
        <v>2</v>
      </c>
      <c r="H24" s="329" t="s">
        <v>0</v>
      </c>
      <c r="I24" s="337">
        <v>0</v>
      </c>
      <c r="J24" s="81" t="s">
        <v>127</v>
      </c>
      <c r="K24" s="52"/>
      <c r="L24" s="495" t="str">
        <f>IF(OR(Copa2022!F32="",G24=""),"",
IF(AND(Copa2022!F32=G24,Copa2022!H32=I24),Regras!$J$25,IF(Y24=Regras!F46,Regras!$J$26,0)))</f>
        <v/>
      </c>
      <c r="M24" s="495"/>
      <c r="N24" s="318"/>
      <c r="O24" s="346">
        <v>3</v>
      </c>
      <c r="P24" s="345" t="s">
        <v>129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 x14ac:dyDescent="0.25">
      <c r="A25" s="60" t="s">
        <v>306</v>
      </c>
      <c r="B25" s="485"/>
      <c r="C25" s="171">
        <v>44895</v>
      </c>
      <c r="D25" s="194" t="s">
        <v>132</v>
      </c>
      <c r="E25" s="177" t="s">
        <v>148</v>
      </c>
      <c r="F25" s="78" t="s">
        <v>129</v>
      </c>
      <c r="G25" s="328">
        <v>0</v>
      </c>
      <c r="H25" s="329" t="s">
        <v>0</v>
      </c>
      <c r="I25" s="337">
        <v>2</v>
      </c>
      <c r="J25" s="81" t="s">
        <v>3</v>
      </c>
      <c r="K25" s="52"/>
      <c r="L25" s="495" t="str">
        <f>IF(OR(Copa2022!F33="",G25=""),"",
IF(AND(Copa2022!F33=G25,Copa2022!H33=I25),Regras!$J$25,IF(Y25=Regras!F47,Regras!$J$26,0)))</f>
        <v/>
      </c>
      <c r="M25" s="495"/>
      <c r="N25" s="318"/>
      <c r="O25" s="347">
        <v>4</v>
      </c>
      <c r="P25" s="348" t="s">
        <v>159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 x14ac:dyDescent="0.25">
      <c r="A26" s="60" t="s">
        <v>307</v>
      </c>
      <c r="B26" s="486"/>
      <c r="C26" s="173">
        <v>44895</v>
      </c>
      <c r="D26" s="195" t="s">
        <v>132</v>
      </c>
      <c r="E26" s="178" t="s">
        <v>164</v>
      </c>
      <c r="F26" s="90" t="s">
        <v>159</v>
      </c>
      <c r="G26" s="334">
        <v>0</v>
      </c>
      <c r="H26" s="335" t="s">
        <v>0</v>
      </c>
      <c r="I26" s="340">
        <v>2</v>
      </c>
      <c r="J26" s="93" t="s">
        <v>127</v>
      </c>
      <c r="K26" s="52"/>
      <c r="L26" s="495" t="str">
        <f>IF(OR(Copa2022!F34="",G26=""),"",
IF(AND(Copa2022!F34=G26,Copa2022!H34=I26),Regras!$J$25,IF(Y26=Regras!F48,Regras!$J$26,0)))</f>
        <v/>
      </c>
      <c r="M26" s="495"/>
      <c r="N26" s="318"/>
      <c r="O26" s="344"/>
      <c r="P26" s="345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 x14ac:dyDescent="0.25">
      <c r="A27" s="60" t="s">
        <v>308</v>
      </c>
      <c r="B27" s="48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26">
        <v>2</v>
      </c>
      <c r="H27" s="327" t="s">
        <v>0</v>
      </c>
      <c r="I27" s="336">
        <v>1</v>
      </c>
      <c r="J27" s="77" t="s">
        <v>8</v>
      </c>
      <c r="K27" s="52"/>
      <c r="L27" s="495" t="str">
        <f>IF(OR(Copa2022!F35="",G27=""),"",
IF(AND(Copa2022!F35=G27,Copa2022!H35=I27),Regras!$J$25,IF(Y27=Regras!F49,Regras!$J$26,0)))</f>
        <v/>
      </c>
      <c r="M27" s="495"/>
      <c r="N27" s="318"/>
      <c r="O27" s="502" t="s">
        <v>53</v>
      </c>
      <c r="P27" s="503"/>
      <c r="Q27" s="324" t="str">
        <f>IF(Copa2022!F40="","",IF(Copa2022!O36=Flavio!P28,Regras!$J$27,0))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 x14ac:dyDescent="0.2">
      <c r="A28" s="60" t="s">
        <v>309</v>
      </c>
      <c r="B28" s="485"/>
      <c r="C28" s="171">
        <v>44888</v>
      </c>
      <c r="D28" s="194" t="s">
        <v>134</v>
      </c>
      <c r="E28" s="172" t="s">
        <v>157</v>
      </c>
      <c r="F28" s="78" t="s">
        <v>11</v>
      </c>
      <c r="G28" s="328">
        <v>2</v>
      </c>
      <c r="H28" s="329" t="s">
        <v>0</v>
      </c>
      <c r="I28" s="337">
        <v>0</v>
      </c>
      <c r="J28" s="81" t="s">
        <v>160</v>
      </c>
      <c r="K28" s="52"/>
      <c r="L28" s="495" t="str">
        <f>IF(OR(Copa2022!F36="",G28=""),"",
IF(AND(Copa2022!F36=G28,Copa2022!H36=I28),Regras!$J$25,IF(Y28=Regras!F50,Regras!$J$26,0)))</f>
        <v/>
      </c>
      <c r="M28" s="495"/>
      <c r="N28" s="318"/>
      <c r="O28" s="346">
        <v>1</v>
      </c>
      <c r="P28" s="345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 x14ac:dyDescent="0.25">
      <c r="A29" s="60" t="s">
        <v>310</v>
      </c>
      <c r="B29" s="485"/>
      <c r="C29" s="171">
        <v>44892</v>
      </c>
      <c r="D29" s="194" t="s">
        <v>133</v>
      </c>
      <c r="E29" s="172" t="s">
        <v>162</v>
      </c>
      <c r="F29" s="78" t="s">
        <v>8</v>
      </c>
      <c r="G29" s="328">
        <v>1</v>
      </c>
      <c r="H29" s="329" t="s">
        <v>0</v>
      </c>
      <c r="I29" s="337">
        <v>0</v>
      </c>
      <c r="J29" s="81" t="s">
        <v>160</v>
      </c>
      <c r="K29" s="52"/>
      <c r="L29" s="495" t="str">
        <f>IF(OR(Copa2022!F37="",G29=""),"",
IF(AND(Copa2022!F37=G29,Copa2022!H37=I29),Regras!$J$25,IF(Y29=Regras!F51,Regras!$J$26,0)))</f>
        <v/>
      </c>
      <c r="M29" s="495"/>
      <c r="N29" s="318"/>
      <c r="O29" s="349">
        <v>2</v>
      </c>
      <c r="P29" s="350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 x14ac:dyDescent="0.2">
      <c r="A30" s="60" t="s">
        <v>311</v>
      </c>
      <c r="B30" s="485"/>
      <c r="C30" s="171">
        <v>44892</v>
      </c>
      <c r="D30" s="194" t="s">
        <v>136</v>
      </c>
      <c r="E30" s="172" t="s">
        <v>161</v>
      </c>
      <c r="F30" s="78" t="s">
        <v>11</v>
      </c>
      <c r="G30" s="328">
        <v>2</v>
      </c>
      <c r="H30" s="329" t="s">
        <v>0</v>
      </c>
      <c r="I30" s="337">
        <v>2</v>
      </c>
      <c r="J30" s="81" t="s">
        <v>7</v>
      </c>
      <c r="K30" s="52"/>
      <c r="L30" s="495" t="str">
        <f>IF(OR(Copa2022!F38="",G30=""),"",
IF(AND(Copa2022!F38=G30,Copa2022!H38=I30),Regras!$J$25,IF(Y30=Regras!F52,Regras!$J$26,0)))</f>
        <v/>
      </c>
      <c r="M30" s="495"/>
      <c r="N30" s="318"/>
      <c r="O30" s="346">
        <v>3</v>
      </c>
      <c r="P30" s="345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 x14ac:dyDescent="0.25">
      <c r="A31" s="60" t="s">
        <v>312</v>
      </c>
      <c r="B31" s="485"/>
      <c r="C31" s="171">
        <v>44896</v>
      </c>
      <c r="D31" s="194" t="s">
        <v>136</v>
      </c>
      <c r="E31" s="172" t="s">
        <v>143</v>
      </c>
      <c r="F31" s="78" t="s">
        <v>8</v>
      </c>
      <c r="G31" s="328">
        <v>0</v>
      </c>
      <c r="H31" s="329" t="s">
        <v>0</v>
      </c>
      <c r="I31" s="337">
        <v>1</v>
      </c>
      <c r="J31" s="81" t="s">
        <v>11</v>
      </c>
      <c r="K31" s="52"/>
      <c r="L31" s="495" t="str">
        <f>IF(OR(Copa2022!F39="",G31=""),"",
IF(AND(Copa2022!F39=G31,Copa2022!H39=I31),Regras!$J$25,IF(Y31=Regras!F53,Regras!$J$26,0)))</f>
        <v/>
      </c>
      <c r="M31" s="495"/>
      <c r="N31" s="318"/>
      <c r="O31" s="347">
        <v>4</v>
      </c>
      <c r="P31" s="348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 x14ac:dyDescent="0.25">
      <c r="A32" s="60" t="s">
        <v>313</v>
      </c>
      <c r="B32" s="486"/>
      <c r="C32" s="173">
        <v>44896</v>
      </c>
      <c r="D32" s="195" t="s">
        <v>136</v>
      </c>
      <c r="E32" s="174" t="s">
        <v>161</v>
      </c>
      <c r="F32" s="86" t="s">
        <v>160</v>
      </c>
      <c r="G32" s="332">
        <v>0</v>
      </c>
      <c r="H32" s="333" t="s">
        <v>0</v>
      </c>
      <c r="I32" s="338">
        <v>2</v>
      </c>
      <c r="J32" s="89" t="s">
        <v>7</v>
      </c>
      <c r="K32" s="52"/>
      <c r="L32" s="495" t="str">
        <f>IF(OR(Copa2022!F40="",G32=""),"",
IF(AND(Copa2022!F40=G32,Copa2022!H40=I32),Regras!$J$25,IF(Y32=Regras!F54,Regras!$J$26,0)))</f>
        <v/>
      </c>
      <c r="M32" s="495"/>
      <c r="N32" s="318"/>
      <c r="O32" s="344"/>
      <c r="P32" s="345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 x14ac:dyDescent="0.25">
      <c r="A33" s="60" t="s">
        <v>314</v>
      </c>
      <c r="B33" s="48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30">
        <v>0</v>
      </c>
      <c r="H33" s="331" t="s">
        <v>0</v>
      </c>
      <c r="I33" s="339">
        <v>2</v>
      </c>
      <c r="J33" s="85" t="s">
        <v>70</v>
      </c>
      <c r="K33" s="52"/>
      <c r="L33" s="495" t="str">
        <f>IF(OR(Copa2022!F41="",G33=""),"",
IF(AND(Copa2022!F41=G33,Copa2022!H41=I33),Regras!$J$25,IF(Y33=Regras!F55,Regras!$J$26,0)))</f>
        <v/>
      </c>
      <c r="M33" s="495"/>
      <c r="N33" s="318"/>
      <c r="O33" s="502" t="s">
        <v>56</v>
      </c>
      <c r="P33" s="503"/>
      <c r="Q33" s="324" t="str">
        <f>IF(Copa2022!F46="","",IF(Copa2022!O42=Flavio!P34,Regras!$J$27,0))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/>
      </c>
    </row>
    <row r="34" spans="1:25" s="60" customFormat="1" ht="35.1" customHeight="1" x14ac:dyDescent="0.2">
      <c r="A34" s="60" t="s">
        <v>315</v>
      </c>
      <c r="B34" s="485"/>
      <c r="C34" s="171">
        <v>44888</v>
      </c>
      <c r="D34" s="194" t="s">
        <v>136</v>
      </c>
      <c r="E34" s="177" t="s">
        <v>162</v>
      </c>
      <c r="F34" s="78" t="s">
        <v>104</v>
      </c>
      <c r="G34" s="328">
        <v>3</v>
      </c>
      <c r="H34" s="329" t="s">
        <v>0</v>
      </c>
      <c r="I34" s="337">
        <v>0</v>
      </c>
      <c r="J34" s="81" t="s">
        <v>150</v>
      </c>
      <c r="K34" s="52"/>
      <c r="L34" s="495" t="str">
        <f>IF(OR(Copa2022!F42="",G34=""),"",
IF(AND(Copa2022!F42=G34,Copa2022!H42=I34),Regras!$J$25,IF(Y34=Regras!F56,Regras!$J$26,0)))</f>
        <v/>
      </c>
      <c r="M34" s="495"/>
      <c r="N34" s="318"/>
      <c r="O34" s="346">
        <v>1</v>
      </c>
      <c r="P34" s="345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 x14ac:dyDescent="0.25">
      <c r="A35" s="60" t="s">
        <v>316</v>
      </c>
      <c r="B35" s="485"/>
      <c r="C35" s="171">
        <v>44892</v>
      </c>
      <c r="D35" s="194" t="s">
        <v>135</v>
      </c>
      <c r="E35" s="177" t="s">
        <v>157</v>
      </c>
      <c r="F35" s="78" t="s">
        <v>104</v>
      </c>
      <c r="G35" s="328">
        <v>2</v>
      </c>
      <c r="H35" s="329" t="s">
        <v>0</v>
      </c>
      <c r="I35" s="337">
        <v>0</v>
      </c>
      <c r="J35" s="81" t="s">
        <v>126</v>
      </c>
      <c r="K35" s="52"/>
      <c r="L35" s="495" t="str">
        <f>IF(OR(Copa2022!F43="",G35=""),"",
IF(AND(Copa2022!F43=G35,Copa2022!H43=I35),Regras!$J$25,IF(Y35=Regras!F57,Regras!$J$26,0)))</f>
        <v/>
      </c>
      <c r="M35" s="495"/>
      <c r="N35" s="318"/>
      <c r="O35" s="349">
        <v>2</v>
      </c>
      <c r="P35" s="350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 x14ac:dyDescent="0.2">
      <c r="A36" s="60" t="s">
        <v>317</v>
      </c>
      <c r="B36" s="485"/>
      <c r="C36" s="171">
        <v>44892</v>
      </c>
      <c r="D36" s="194" t="s">
        <v>134</v>
      </c>
      <c r="E36" s="177" t="s">
        <v>143</v>
      </c>
      <c r="F36" s="78" t="s">
        <v>70</v>
      </c>
      <c r="G36" s="328">
        <v>2</v>
      </c>
      <c r="H36" s="329" t="s">
        <v>0</v>
      </c>
      <c r="I36" s="337">
        <v>1</v>
      </c>
      <c r="J36" s="81" t="s">
        <v>150</v>
      </c>
      <c r="K36" s="52"/>
      <c r="L36" s="495" t="str">
        <f>IF(OR(Copa2022!F44="",G36=""),"",
IF(AND(Copa2022!F44=G36,Copa2022!H44=I36),Regras!$J$25,IF(Y36=Regras!F58,Regras!$J$26,0)))</f>
        <v/>
      </c>
      <c r="M36" s="495"/>
      <c r="N36" s="318"/>
      <c r="O36" s="346">
        <v>3</v>
      </c>
      <c r="P36" s="345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 x14ac:dyDescent="0.25">
      <c r="A37" s="60" t="s">
        <v>318</v>
      </c>
      <c r="B37" s="485"/>
      <c r="C37" s="171">
        <v>44896</v>
      </c>
      <c r="D37" s="194" t="s">
        <v>132</v>
      </c>
      <c r="E37" s="177" t="s">
        <v>162</v>
      </c>
      <c r="F37" s="78" t="s">
        <v>70</v>
      </c>
      <c r="G37" s="328">
        <v>1</v>
      </c>
      <c r="H37" s="329" t="s">
        <v>0</v>
      </c>
      <c r="I37" s="337">
        <v>1</v>
      </c>
      <c r="J37" s="81" t="s">
        <v>104</v>
      </c>
      <c r="K37" s="52"/>
      <c r="L37" s="495" t="str">
        <f>IF(OR(Copa2022!F45="",G37=""),"",
IF(AND(Copa2022!F45=G37,Copa2022!H45=I37),Regras!$J$25,IF(Y37=Regras!F59,Regras!$J$26,0)))</f>
        <v/>
      </c>
      <c r="M37" s="495"/>
      <c r="N37" s="318"/>
      <c r="O37" s="347">
        <v>4</v>
      </c>
      <c r="P37" s="348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 x14ac:dyDescent="0.25">
      <c r="A38" s="60" t="s">
        <v>319</v>
      </c>
      <c r="B38" s="486"/>
      <c r="C38" s="173">
        <v>44896</v>
      </c>
      <c r="D38" s="195" t="s">
        <v>132</v>
      </c>
      <c r="E38" s="178" t="s">
        <v>157</v>
      </c>
      <c r="F38" s="90" t="s">
        <v>150</v>
      </c>
      <c r="G38" s="334">
        <v>1</v>
      </c>
      <c r="H38" s="335" t="s">
        <v>0</v>
      </c>
      <c r="I38" s="340">
        <v>0</v>
      </c>
      <c r="J38" s="93" t="s">
        <v>126</v>
      </c>
      <c r="K38" s="52"/>
      <c r="L38" s="495" t="str">
        <f>IF(OR(Copa2022!F46="",G38=""),"",
IF(AND(Copa2022!F46=G38,Copa2022!H46=I38),Regras!$J$25,IF(Y38=Regras!F60,Regras!$J$26,0)))</f>
        <v/>
      </c>
      <c r="M38" s="495"/>
      <c r="N38" s="318"/>
      <c r="O38" s="344"/>
      <c r="P38" s="345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 x14ac:dyDescent="0.25">
      <c r="A39" s="60" t="s">
        <v>320</v>
      </c>
      <c r="B39" s="48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26">
        <v>1</v>
      </c>
      <c r="H39" s="327" t="s">
        <v>0</v>
      </c>
      <c r="I39" s="336">
        <v>1</v>
      </c>
      <c r="J39" s="77" t="s">
        <v>151</v>
      </c>
      <c r="K39" s="52"/>
      <c r="L39" s="495" t="str">
        <f>IF(OR(Copa2022!F47="",G39=""),"",
IF(AND(Copa2022!F47=G39,Copa2022!H47=I39),Regras!$J$25,IF(Y39=Regras!F61,Regras!$J$26,0)))</f>
        <v/>
      </c>
      <c r="M39" s="495"/>
      <c r="N39" s="318"/>
      <c r="O39" s="502" t="s">
        <v>58</v>
      </c>
      <c r="P39" s="503"/>
      <c r="Q39" s="324" t="str">
        <f>IF(Copa2022!F52="","",IF(Copa2022!O48=Flavio!P40,Regras!$J$27,0))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 x14ac:dyDescent="0.2">
      <c r="A40" s="60" t="s">
        <v>321</v>
      </c>
      <c r="B40" s="485"/>
      <c r="C40" s="171">
        <v>44889</v>
      </c>
      <c r="D40" s="194" t="s">
        <v>136</v>
      </c>
      <c r="E40" s="172" t="s">
        <v>146</v>
      </c>
      <c r="F40" s="78" t="s">
        <v>10</v>
      </c>
      <c r="G40" s="328">
        <v>2</v>
      </c>
      <c r="H40" s="329" t="s">
        <v>0</v>
      </c>
      <c r="I40" s="337">
        <v>1</v>
      </c>
      <c r="J40" s="81" t="s">
        <v>128</v>
      </c>
      <c r="K40" s="52"/>
      <c r="L40" s="495" t="str">
        <f>IF(OR(Copa2022!F48="",G40=""),"",
IF(AND(Copa2022!F48=G40,Copa2022!H48=I40),Regras!$J$25,IF(Y40=Regras!F62,Regras!$J$26,0)))</f>
        <v/>
      </c>
      <c r="M40" s="495"/>
      <c r="N40" s="318"/>
      <c r="O40" s="351">
        <v>1</v>
      </c>
      <c r="P40" s="352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 x14ac:dyDescent="0.25">
      <c r="A41" s="60" t="s">
        <v>322</v>
      </c>
      <c r="B41" s="485"/>
      <c r="C41" s="171">
        <v>44893</v>
      </c>
      <c r="D41" s="194" t="s">
        <v>133</v>
      </c>
      <c r="E41" s="172" t="s">
        <v>164</v>
      </c>
      <c r="F41" s="78" t="s">
        <v>151</v>
      </c>
      <c r="G41" s="328">
        <v>0</v>
      </c>
      <c r="H41" s="329" t="s">
        <v>0</v>
      </c>
      <c r="I41" s="337">
        <v>1</v>
      </c>
      <c r="J41" s="81" t="s">
        <v>128</v>
      </c>
      <c r="K41" s="52"/>
      <c r="L41" s="495" t="str">
        <f>IF(OR(Copa2022!F49="",G41=""),"",
IF(AND(Copa2022!F49=G41,Copa2022!H49=I41),Regras!$J$25,IF(Y41=Regras!F63,Regras!$J$26,0)))</f>
        <v/>
      </c>
      <c r="M41" s="495"/>
      <c r="N41" s="318"/>
      <c r="O41" s="349">
        <v>2</v>
      </c>
      <c r="P41" s="350" t="s">
        <v>128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 x14ac:dyDescent="0.2">
      <c r="A42" s="60" t="s">
        <v>323</v>
      </c>
      <c r="B42" s="485"/>
      <c r="C42" s="171">
        <v>44893</v>
      </c>
      <c r="D42" s="194" t="s">
        <v>134</v>
      </c>
      <c r="E42" s="172" t="s">
        <v>163</v>
      </c>
      <c r="F42" s="78" t="s">
        <v>10</v>
      </c>
      <c r="G42" s="328">
        <v>1</v>
      </c>
      <c r="H42" s="329" t="s">
        <v>0</v>
      </c>
      <c r="I42" s="337">
        <v>0</v>
      </c>
      <c r="J42" s="81" t="s">
        <v>12</v>
      </c>
      <c r="K42" s="52"/>
      <c r="L42" s="495" t="str">
        <f>IF(OR(Copa2022!F50="",G42=""),"",
IF(AND(Copa2022!F50=G42,Copa2022!H50=I42),Regras!$J$25,IF(Y42=Regras!F64,Regras!$J$26,0)))</f>
        <v/>
      </c>
      <c r="M42" s="495"/>
      <c r="N42" s="318"/>
      <c r="O42" s="346">
        <v>3</v>
      </c>
      <c r="P42" s="345" t="s">
        <v>12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 x14ac:dyDescent="0.25">
      <c r="A43" s="60" t="s">
        <v>324</v>
      </c>
      <c r="B43" s="485"/>
      <c r="C43" s="171">
        <v>44897</v>
      </c>
      <c r="D43" s="194" t="s">
        <v>136</v>
      </c>
      <c r="E43" s="172" t="s">
        <v>146</v>
      </c>
      <c r="F43" s="78" t="s">
        <v>151</v>
      </c>
      <c r="G43" s="328">
        <v>0</v>
      </c>
      <c r="H43" s="329" t="s">
        <v>0</v>
      </c>
      <c r="I43" s="337">
        <v>2</v>
      </c>
      <c r="J43" s="81" t="s">
        <v>10</v>
      </c>
      <c r="K43" s="52"/>
      <c r="L43" s="495" t="str">
        <f>IF(OR(Copa2022!F51="",G43=""),"",
IF(AND(Copa2022!F51=G43,Copa2022!H51=I43),Regras!$J$25,IF(Y43=Regras!F65,Regras!$J$26,0)))</f>
        <v/>
      </c>
      <c r="M43" s="495"/>
      <c r="N43" s="318"/>
      <c r="O43" s="347">
        <v>4</v>
      </c>
      <c r="P43" s="348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 x14ac:dyDescent="0.25">
      <c r="A44" s="60" t="s">
        <v>325</v>
      </c>
      <c r="B44" s="486"/>
      <c r="C44" s="173">
        <v>44897</v>
      </c>
      <c r="D44" s="195" t="s">
        <v>136</v>
      </c>
      <c r="E44" s="174" t="s">
        <v>163</v>
      </c>
      <c r="F44" s="86" t="s">
        <v>128</v>
      </c>
      <c r="G44" s="332">
        <v>1</v>
      </c>
      <c r="H44" s="333" t="s">
        <v>0</v>
      </c>
      <c r="I44" s="338">
        <v>1</v>
      </c>
      <c r="J44" s="89" t="s">
        <v>12</v>
      </c>
      <c r="K44" s="52"/>
      <c r="L44" s="495" t="str">
        <f>IF(OR(Copa2022!F52="",G44=""),"",
IF(AND(Copa2022!F52=G44,Copa2022!H52=I44),Regras!$J$25,IF(Y44=Regras!F66,Regras!$J$26,0)))</f>
        <v/>
      </c>
      <c r="M44" s="495"/>
      <c r="N44" s="318"/>
      <c r="O44" s="344"/>
      <c r="P44" s="345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 x14ac:dyDescent="0.25">
      <c r="A45" s="60" t="s">
        <v>326</v>
      </c>
      <c r="B45" s="48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30">
        <v>1</v>
      </c>
      <c r="H45" s="331" t="s">
        <v>0</v>
      </c>
      <c r="I45" s="339">
        <v>1</v>
      </c>
      <c r="J45" s="85" t="s">
        <v>5</v>
      </c>
      <c r="K45" s="52"/>
      <c r="L45" s="495" t="str">
        <f>IF(OR(Copa2022!F53="",G45=""),"",
IF(AND(Copa2022!F53=G45,Copa2022!H53=I45),Regras!$J$25,IF(Y45=Regras!F67,Regras!$J$26,0)))</f>
        <v/>
      </c>
      <c r="M45" s="495"/>
      <c r="N45" s="318"/>
      <c r="O45" s="502" t="s">
        <v>59</v>
      </c>
      <c r="P45" s="503"/>
      <c r="Q45" s="324" t="str">
        <f>IF(Copa2022!F58="","",IF(Copa2022!O54=Flavio!P46,Regras!$J$27,0))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 x14ac:dyDescent="0.2">
      <c r="A46" s="60" t="s">
        <v>327</v>
      </c>
      <c r="B46" s="485"/>
      <c r="C46" s="171">
        <v>44889</v>
      </c>
      <c r="D46" s="194" t="s">
        <v>134</v>
      </c>
      <c r="E46" s="177" t="s">
        <v>163</v>
      </c>
      <c r="F46" s="78" t="s">
        <v>9</v>
      </c>
      <c r="G46" s="328">
        <v>1</v>
      </c>
      <c r="H46" s="329" t="s">
        <v>0</v>
      </c>
      <c r="I46" s="337">
        <v>0</v>
      </c>
      <c r="J46" s="81" t="s">
        <v>152</v>
      </c>
      <c r="K46" s="52"/>
      <c r="L46" s="495" t="str">
        <f>IF(OR(Copa2022!F54="",G46=""),"",
IF(AND(Copa2022!F54=G46,Copa2022!H54=I46),Regras!$J$25,IF(Y46=Regras!F68,Regras!$J$26,0)))</f>
        <v/>
      </c>
      <c r="M46" s="495"/>
      <c r="N46" s="318"/>
      <c r="O46" s="346">
        <v>1</v>
      </c>
      <c r="P46" s="345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 x14ac:dyDescent="0.25">
      <c r="A47" s="60" t="s">
        <v>328</v>
      </c>
      <c r="B47" s="485"/>
      <c r="C47" s="171">
        <v>44893</v>
      </c>
      <c r="D47" s="194" t="s">
        <v>135</v>
      </c>
      <c r="E47" s="177" t="s">
        <v>148</v>
      </c>
      <c r="F47" s="78" t="s">
        <v>5</v>
      </c>
      <c r="G47" s="328">
        <v>0</v>
      </c>
      <c r="H47" s="329" t="s">
        <v>0</v>
      </c>
      <c r="I47" s="337">
        <v>0</v>
      </c>
      <c r="J47" s="81" t="s">
        <v>152</v>
      </c>
      <c r="K47" s="52"/>
      <c r="L47" s="495" t="str">
        <f>IF(OR(Copa2022!F55="",G47=""),"",
IF(AND(Copa2022!F55=G47,Copa2022!H55=I47),Regras!$J$25,IF(Y47=Regras!F69,Regras!$J$26,0)))</f>
        <v/>
      </c>
      <c r="M47" s="495"/>
      <c r="N47" s="318"/>
      <c r="O47" s="349">
        <v>2</v>
      </c>
      <c r="P47" s="350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 x14ac:dyDescent="0.2">
      <c r="A48" s="60" t="s">
        <v>329</v>
      </c>
      <c r="B48" s="485"/>
      <c r="C48" s="171">
        <v>44893</v>
      </c>
      <c r="D48" s="194" t="s">
        <v>136</v>
      </c>
      <c r="E48" s="177" t="s">
        <v>146</v>
      </c>
      <c r="F48" s="78" t="s">
        <v>9</v>
      </c>
      <c r="G48" s="328">
        <v>2</v>
      </c>
      <c r="H48" s="329" t="s">
        <v>0</v>
      </c>
      <c r="I48" s="337">
        <v>2</v>
      </c>
      <c r="J48" s="81" t="s">
        <v>2</v>
      </c>
      <c r="K48" s="52"/>
      <c r="L48" s="495" t="str">
        <f>IF(OR(Copa2022!F56="",G48=""),"",
IF(AND(Copa2022!F56=G48,Copa2022!H56=I48),Regras!$J$25,IF(Y48=Regras!F70,Regras!$J$26,0)))</f>
        <v/>
      </c>
      <c r="M48" s="495"/>
      <c r="N48" s="318"/>
      <c r="O48" s="346">
        <v>3</v>
      </c>
      <c r="P48" s="345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 x14ac:dyDescent="0.25">
      <c r="A49" s="60" t="s">
        <v>330</v>
      </c>
      <c r="B49" s="485"/>
      <c r="C49" s="171">
        <v>44897</v>
      </c>
      <c r="D49" s="194" t="s">
        <v>132</v>
      </c>
      <c r="E49" s="177" t="s">
        <v>148</v>
      </c>
      <c r="F49" s="78" t="s">
        <v>5</v>
      </c>
      <c r="G49" s="328">
        <v>0</v>
      </c>
      <c r="H49" s="329" t="s">
        <v>0</v>
      </c>
      <c r="I49" s="337">
        <v>2</v>
      </c>
      <c r="J49" s="81" t="s">
        <v>9</v>
      </c>
      <c r="K49" s="52"/>
      <c r="L49" s="495" t="str">
        <f>IF(OR(Copa2022!F57="",G49=""),"",
IF(AND(Copa2022!F57=G49,Copa2022!H57=I49),Regras!$J$25,IF(Y49=Regras!F71,Regras!$J$26,0)))</f>
        <v/>
      </c>
      <c r="M49" s="495"/>
      <c r="N49" s="318"/>
      <c r="O49" s="347">
        <v>4</v>
      </c>
      <c r="P49" s="348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 x14ac:dyDescent="0.25">
      <c r="A50" s="477" t="s">
        <v>331</v>
      </c>
      <c r="B50" s="486"/>
      <c r="C50" s="173">
        <v>44897</v>
      </c>
      <c r="D50" s="195" t="s">
        <v>132</v>
      </c>
      <c r="E50" s="178" t="s">
        <v>164</v>
      </c>
      <c r="F50" s="19" t="s">
        <v>152</v>
      </c>
      <c r="G50" s="341">
        <v>1</v>
      </c>
      <c r="H50" s="342" t="s">
        <v>0</v>
      </c>
      <c r="I50" s="343">
        <v>2</v>
      </c>
      <c r="J50" s="130" t="s">
        <v>2</v>
      </c>
      <c r="K50" s="52"/>
      <c r="L50" s="495" t="str">
        <f>IF(OR(Copa2022!F58="",G50=""),"",
IF(AND(Copa2022!F58=G50,Copa2022!H58=I50),Regras!$J$25,IF(Y50=Regras!F72,Regras!$J$26,0)))</f>
        <v/>
      </c>
      <c r="M50" s="495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x14ac:dyDescent="0.2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 x14ac:dyDescent="0.25">
      <c r="B52" s="44"/>
      <c r="C52" s="506" t="s">
        <v>124</v>
      </c>
      <c r="D52" s="507"/>
      <c r="E52" s="507"/>
      <c r="F52" s="507"/>
      <c r="G52" s="507"/>
      <c r="H52" s="507"/>
      <c r="I52" s="507"/>
      <c r="J52" s="507"/>
      <c r="K52" s="507"/>
      <c r="L52" s="507"/>
      <c r="M52" s="508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 x14ac:dyDescent="0.25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4" t="s">
        <v>78</v>
      </c>
      <c r="M53" s="505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 x14ac:dyDescent="0.25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 x14ac:dyDescent="0.25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 x14ac:dyDescent="0.25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 x14ac:dyDescent="0.25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 x14ac:dyDescent="0.25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 x14ac:dyDescent="0.25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 x14ac:dyDescent="0.25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 x14ac:dyDescent="0.25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 x14ac:dyDescent="0.25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23" t="s">
        <v>78</v>
      </c>
      <c r="M62" s="524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 x14ac:dyDescent="0.25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 x14ac:dyDescent="0.25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 x14ac:dyDescent="0.25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 x14ac:dyDescent="0.25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 x14ac:dyDescent="0.25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20" t="s">
        <v>78</v>
      </c>
      <c r="M67" s="522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 x14ac:dyDescent="0.25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 x14ac:dyDescent="0.25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 x14ac:dyDescent="0.25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20" t="s">
        <v>78</v>
      </c>
      <c r="M70" s="522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 x14ac:dyDescent="0.25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 x14ac:dyDescent="0.25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20" t="s">
        <v>78</v>
      </c>
      <c r="M72" s="521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 x14ac:dyDescent="0.25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 x14ac:dyDescent="0.2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 x14ac:dyDescent="0.25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 x14ac:dyDescent="0.25">
      <c r="C76" s="2"/>
      <c r="D76" s="2"/>
      <c r="E76" s="125" t="s">
        <v>83</v>
      </c>
      <c r="F76" s="511">
        <f>'2ª Fase'!E40:I40</f>
        <v>0</v>
      </c>
      <c r="G76" s="511"/>
      <c r="H76" s="511"/>
      <c r="I76" s="511"/>
      <c r="J76" s="512"/>
      <c r="K76" s="50"/>
      <c r="L76" s="1"/>
      <c r="M76" s="1"/>
    </row>
    <row r="77" spans="1:25" ht="15" customHeight="1" x14ac:dyDescent="0.2">
      <c r="C77" s="2"/>
      <c r="D77" s="2"/>
      <c r="E77" s="126" t="s">
        <v>84</v>
      </c>
      <c r="F77" s="513">
        <f>'2ª Fase'!E41:I41</f>
        <v>0</v>
      </c>
      <c r="G77" s="513"/>
      <c r="H77" s="513"/>
      <c r="I77" s="513"/>
      <c r="J77" s="514"/>
      <c r="K77" s="50"/>
      <c r="L77" s="1"/>
      <c r="M77" s="1"/>
    </row>
    <row r="78" spans="1:25" ht="15" customHeight="1" x14ac:dyDescent="0.2">
      <c r="C78" s="2"/>
      <c r="D78" s="2"/>
      <c r="E78" s="127" t="s">
        <v>102</v>
      </c>
      <c r="F78" s="515">
        <f>'2ª Fase'!E42:I42</f>
        <v>0</v>
      </c>
      <c r="G78" s="515"/>
      <c r="H78" s="515"/>
      <c r="I78" s="515"/>
      <c r="J78" s="516"/>
      <c r="K78" s="50"/>
      <c r="L78" s="1"/>
      <c r="M78" s="1"/>
    </row>
    <row r="79" spans="1:25" ht="15" customHeight="1" thickBot="1" x14ac:dyDescent="0.25">
      <c r="C79" s="2"/>
      <c r="D79" s="2"/>
      <c r="E79" s="128" t="s">
        <v>103</v>
      </c>
      <c r="F79" s="517">
        <f>'2ª Fase'!E43:I43</f>
        <v>0</v>
      </c>
      <c r="G79" s="517"/>
      <c r="H79" s="517"/>
      <c r="I79" s="517"/>
      <c r="J79" s="518"/>
      <c r="K79" s="50"/>
      <c r="L79" s="1"/>
      <c r="M79" s="1"/>
    </row>
    <row r="80" spans="1:25" ht="15" hidden="1" customHeight="1" x14ac:dyDescent="0.2">
      <c r="C80" s="2"/>
      <c r="D80" s="2"/>
      <c r="E80" s="192"/>
      <c r="F80" s="509"/>
      <c r="G80" s="509"/>
      <c r="H80" s="509"/>
      <c r="I80" s="509"/>
      <c r="J80" s="510"/>
      <c r="K80" s="50"/>
      <c r="L80" s="129"/>
      <c r="M80" s="1"/>
    </row>
    <row r="81" spans="3:13" ht="15.75" x14ac:dyDescent="0.2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 x14ac:dyDescent="0.2"/>
    <row r="90" spans="3:13" ht="15.75" customHeight="1" x14ac:dyDescent="0.2"/>
    <row r="91" spans="3:13" ht="15.75" customHeight="1" x14ac:dyDescent="0.2"/>
    <row r="92" spans="3:13" ht="15.75" customHeight="1" x14ac:dyDescent="0.2"/>
    <row r="93" spans="3:13" ht="15.75" customHeight="1" x14ac:dyDescent="0.2"/>
    <row r="94" spans="3:13" ht="15.75" customHeight="1" x14ac:dyDescent="0.2"/>
    <row r="95" spans="3:13" ht="15.75" customHeight="1" x14ac:dyDescent="0.2"/>
    <row r="96" spans="3:13" ht="15.75" customHeight="1" x14ac:dyDescent="0.2"/>
    <row r="117" spans="2:25" s="9" customFormat="1" ht="15.75" hidden="1" x14ac:dyDescent="0.2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F76:J76"/>
    <mergeCell ref="F77:J77"/>
    <mergeCell ref="F78:J78"/>
    <mergeCell ref="F79:J79"/>
    <mergeCell ref="F80:J80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B39:B44"/>
    <mergeCell ref="L39:M39"/>
    <mergeCell ref="O39:P39"/>
    <mergeCell ref="L40:M40"/>
    <mergeCell ref="L41:M41"/>
    <mergeCell ref="L42:M42"/>
    <mergeCell ref="L43:M43"/>
    <mergeCell ref="L44:M44"/>
    <mergeCell ref="B33:B38"/>
    <mergeCell ref="L33:M33"/>
    <mergeCell ref="O33:P33"/>
    <mergeCell ref="L34:M34"/>
    <mergeCell ref="L35:M35"/>
    <mergeCell ref="L36:M36"/>
    <mergeCell ref="L37:M37"/>
    <mergeCell ref="L38:M38"/>
    <mergeCell ref="B27:B32"/>
    <mergeCell ref="L27:M27"/>
    <mergeCell ref="O27:P27"/>
    <mergeCell ref="L28:M28"/>
    <mergeCell ref="L29:M29"/>
    <mergeCell ref="L30:M30"/>
    <mergeCell ref="L31:M31"/>
    <mergeCell ref="L32:M32"/>
    <mergeCell ref="B21:B26"/>
    <mergeCell ref="L21:M21"/>
    <mergeCell ref="O21:P21"/>
    <mergeCell ref="L22:M22"/>
    <mergeCell ref="L23:M23"/>
    <mergeCell ref="L24:M24"/>
    <mergeCell ref="L25:M25"/>
    <mergeCell ref="L26:M26"/>
    <mergeCell ref="B15:B20"/>
    <mergeCell ref="L15:M15"/>
    <mergeCell ref="O15:P15"/>
    <mergeCell ref="L16:M16"/>
    <mergeCell ref="L17:M17"/>
    <mergeCell ref="L18:M18"/>
    <mergeCell ref="L19:M19"/>
    <mergeCell ref="L20:M20"/>
    <mergeCell ref="B9:B14"/>
    <mergeCell ref="L9:M9"/>
    <mergeCell ref="O9:P9"/>
    <mergeCell ref="L10:M10"/>
    <mergeCell ref="L11:M11"/>
    <mergeCell ref="L12:M12"/>
    <mergeCell ref="L13:M13"/>
    <mergeCell ref="L14:M14"/>
    <mergeCell ref="B3:B8"/>
    <mergeCell ref="L3:M3"/>
    <mergeCell ref="O3:P3"/>
    <mergeCell ref="L4:M4"/>
    <mergeCell ref="L5:M5"/>
    <mergeCell ref="L6:M6"/>
    <mergeCell ref="L7:M7"/>
    <mergeCell ref="L8:M8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522" priority="51" stopIfTrue="1" operator="equal">
      <formula>#REF!</formula>
    </cfRule>
  </conditionalFormatting>
  <conditionalFormatting sqref="M54:N54">
    <cfRule type="expression" dxfId="521" priority="50">
      <formula>$H$14="penaltis"</formula>
    </cfRule>
  </conditionalFormatting>
  <conditionalFormatting sqref="L55:N55">
    <cfRule type="expression" dxfId="520" priority="49">
      <formula>$H$15="penaltis"</formula>
    </cfRule>
  </conditionalFormatting>
  <conditionalFormatting sqref="L56:N56">
    <cfRule type="expression" dxfId="519" priority="48">
      <formula>$H$16="penaltis"</formula>
    </cfRule>
  </conditionalFormatting>
  <conditionalFormatting sqref="L57:N57">
    <cfRule type="expression" dxfId="518" priority="47">
      <formula>$H$17="penaltis"</formula>
    </cfRule>
  </conditionalFormatting>
  <conditionalFormatting sqref="L58:N58">
    <cfRule type="expression" dxfId="517" priority="46">
      <formula>$H$18="penaltis"</formula>
    </cfRule>
  </conditionalFormatting>
  <conditionalFormatting sqref="L59:N59">
    <cfRule type="expression" dxfId="516" priority="45">
      <formula>$H$19="penaltis"</formula>
    </cfRule>
  </conditionalFormatting>
  <conditionalFormatting sqref="L60:N60">
    <cfRule type="expression" dxfId="515" priority="44">
      <formula>$H$20="penaltis"</formula>
    </cfRule>
  </conditionalFormatting>
  <conditionalFormatting sqref="L61:N61">
    <cfRule type="expression" dxfId="514" priority="43">
      <formula>$H$21="penaltis"</formula>
    </cfRule>
  </conditionalFormatting>
  <conditionalFormatting sqref="N63">
    <cfRule type="expression" dxfId="513" priority="42">
      <formula>$H$23="penaltis"</formula>
    </cfRule>
  </conditionalFormatting>
  <conditionalFormatting sqref="N64">
    <cfRule type="expression" dxfId="512" priority="41" stopIfTrue="1">
      <formula>$H$24="penaltis"</formula>
    </cfRule>
  </conditionalFormatting>
  <conditionalFormatting sqref="N65">
    <cfRule type="expression" dxfId="511" priority="40" stopIfTrue="1">
      <formula>$H$25="penaltis"</formula>
    </cfRule>
  </conditionalFormatting>
  <conditionalFormatting sqref="N66">
    <cfRule type="expression" dxfId="510" priority="39" stopIfTrue="1">
      <formula>$H$26="penaltis"</formula>
    </cfRule>
  </conditionalFormatting>
  <conditionalFormatting sqref="N68">
    <cfRule type="expression" dxfId="509" priority="38" stopIfTrue="1">
      <formula>$H$28="penaltis"</formula>
    </cfRule>
  </conditionalFormatting>
  <conditionalFormatting sqref="N69">
    <cfRule type="expression" dxfId="508" priority="37" stopIfTrue="1">
      <formula>$H$29="penaltis"</formula>
    </cfRule>
  </conditionalFormatting>
  <conditionalFormatting sqref="N71">
    <cfRule type="expression" dxfId="507" priority="36" stopIfTrue="1">
      <formula>$H$31="penaltis"</formula>
    </cfRule>
  </conditionalFormatting>
  <conditionalFormatting sqref="N73">
    <cfRule type="expression" dxfId="506" priority="35" stopIfTrue="1">
      <formula>$H$33="penaltis"</formula>
    </cfRule>
  </conditionalFormatting>
  <conditionalFormatting sqref="L54:M54">
    <cfRule type="expression" dxfId="505" priority="34" stopIfTrue="1">
      <formula>$K$54="penaltis"</formula>
    </cfRule>
  </conditionalFormatting>
  <conditionalFormatting sqref="L55:M55">
    <cfRule type="expression" dxfId="504" priority="33" stopIfTrue="1">
      <formula>$K$55="penaltis"</formula>
    </cfRule>
  </conditionalFormatting>
  <conditionalFormatting sqref="L56:M56">
    <cfRule type="expression" dxfId="503" priority="32" stopIfTrue="1">
      <formula>$K$56="penaltis"</formula>
    </cfRule>
  </conditionalFormatting>
  <conditionalFormatting sqref="L57:M57">
    <cfRule type="expression" dxfId="502" priority="31" stopIfTrue="1">
      <formula>$K$57="penaltis"</formula>
    </cfRule>
  </conditionalFormatting>
  <conditionalFormatting sqref="L58:M58">
    <cfRule type="expression" dxfId="501" priority="30" stopIfTrue="1">
      <formula>$K$58="penaltis"</formula>
    </cfRule>
  </conditionalFormatting>
  <conditionalFormatting sqref="L59:M59">
    <cfRule type="expression" dxfId="500" priority="29" stopIfTrue="1">
      <formula>$K$59="penaltis"</formula>
    </cfRule>
  </conditionalFormatting>
  <conditionalFormatting sqref="L60:M60">
    <cfRule type="expression" dxfId="499" priority="28" stopIfTrue="1">
      <formula>$K$60="penaltis"</formula>
    </cfRule>
  </conditionalFormatting>
  <conditionalFormatting sqref="L61:M61">
    <cfRule type="expression" dxfId="498" priority="27" stopIfTrue="1">
      <formula>$K$61="penaltis"</formula>
    </cfRule>
  </conditionalFormatting>
  <conditionalFormatting sqref="L63:M63">
    <cfRule type="expression" dxfId="497" priority="26">
      <formula>$K$63="penaltis"</formula>
    </cfRule>
  </conditionalFormatting>
  <conditionalFormatting sqref="L64:M64">
    <cfRule type="expression" dxfId="496" priority="25">
      <formula>$K$64="penaltis"</formula>
    </cfRule>
  </conditionalFormatting>
  <conditionalFormatting sqref="L65:M65">
    <cfRule type="expression" dxfId="495" priority="24">
      <formula>$K$65="penaltis"</formula>
    </cfRule>
  </conditionalFormatting>
  <conditionalFormatting sqref="L66:M66">
    <cfRule type="expression" dxfId="494" priority="23">
      <formula>$K$66="penaltis"</formula>
    </cfRule>
  </conditionalFormatting>
  <conditionalFormatting sqref="L68:M68">
    <cfRule type="expression" dxfId="493" priority="22">
      <formula>$K$68="penaltis"</formula>
    </cfRule>
  </conditionalFormatting>
  <conditionalFormatting sqref="L69:M69">
    <cfRule type="expression" dxfId="492" priority="21">
      <formula>$K$69="penaltis"</formula>
    </cfRule>
  </conditionalFormatting>
  <conditionalFormatting sqref="L71:M71">
    <cfRule type="expression" dxfId="491" priority="20">
      <formula>$K$71="penaltis"</formula>
    </cfRule>
  </conditionalFormatting>
  <conditionalFormatting sqref="L73:M73">
    <cfRule type="expression" dxfId="490" priority="19">
      <formula>$K$73="penaltis"</formula>
    </cfRule>
  </conditionalFormatting>
  <conditionalFormatting sqref="Q4:X5">
    <cfRule type="expression" dxfId="489" priority="18">
      <formula>$R$8=12</formula>
    </cfRule>
  </conditionalFormatting>
  <conditionalFormatting sqref="Q10:X11">
    <cfRule type="expression" dxfId="488" priority="17">
      <formula>$R$14=12</formula>
    </cfRule>
  </conditionalFormatting>
  <conditionalFormatting sqref="Q16:X17">
    <cfRule type="expression" dxfId="487" priority="16">
      <formula>$R$20=12</formula>
    </cfRule>
  </conditionalFormatting>
  <conditionalFormatting sqref="Q22:X23">
    <cfRule type="expression" dxfId="486" priority="15">
      <formula>$R$26=12</formula>
    </cfRule>
  </conditionalFormatting>
  <conditionalFormatting sqref="Q28:X29">
    <cfRule type="expression" dxfId="485" priority="14">
      <formula>$R$32=12</formula>
    </cfRule>
  </conditionalFormatting>
  <conditionalFormatting sqref="Q34:X35">
    <cfRule type="expression" dxfId="484" priority="13">
      <formula>$R$38=12</formula>
    </cfRule>
  </conditionalFormatting>
  <conditionalFormatting sqref="Q40:X41">
    <cfRule type="expression" dxfId="483" priority="12">
      <formula>$R$44=12</formula>
    </cfRule>
  </conditionalFormatting>
  <conditionalFormatting sqref="Q46:X47">
    <cfRule type="expression" dxfId="482" priority="11">
      <formula>$R$50=12</formula>
    </cfRule>
  </conditionalFormatting>
  <conditionalFormatting sqref="F62:J73 B45 B9 B15 B21 B27 B33 B3 F3:F50 J3:J50">
    <cfRule type="cellIs" dxfId="481" priority="52" stopIfTrue="1" operator="equal">
      <formula>#REF!</formula>
    </cfRule>
  </conditionalFormatting>
  <conditionalFormatting sqref="B39">
    <cfRule type="cellIs" dxfId="480" priority="10" stopIfTrue="1" operator="equal">
      <formula>#REF!</formula>
    </cfRule>
  </conditionalFormatting>
  <conditionalFormatting sqref="F54:J61">
    <cfRule type="cellIs" dxfId="479" priority="9" stopIfTrue="1" operator="equal">
      <formula>$Z$7</formula>
    </cfRule>
  </conditionalFormatting>
  <conditionalFormatting sqref="O4:P5">
    <cfRule type="expression" dxfId="478" priority="8">
      <formula>$R$16=12</formula>
    </cfRule>
  </conditionalFormatting>
  <conditionalFormatting sqref="O10:P11">
    <cfRule type="expression" dxfId="477" priority="7">
      <formula>$R$22=12</formula>
    </cfRule>
  </conditionalFormatting>
  <conditionalFormatting sqref="O16:P17">
    <cfRule type="expression" dxfId="476" priority="6">
      <formula>$R$28=12</formula>
    </cfRule>
  </conditionalFormatting>
  <conditionalFormatting sqref="O22:P23">
    <cfRule type="expression" dxfId="475" priority="5">
      <formula>$R$34=12</formula>
    </cfRule>
  </conditionalFormatting>
  <conditionalFormatting sqref="O28:P29">
    <cfRule type="expression" dxfId="474" priority="4">
      <formula>$R$40=12</formula>
    </cfRule>
  </conditionalFormatting>
  <conditionalFormatting sqref="O34:P35">
    <cfRule type="expression" dxfId="473" priority="3">
      <formula>$R$46=12</formula>
    </cfRule>
  </conditionalFormatting>
  <conditionalFormatting sqref="O40:P41">
    <cfRule type="expression" dxfId="472" priority="2">
      <formula>$R$52=12</formula>
    </cfRule>
  </conditionalFormatting>
  <conditionalFormatting sqref="O46:P47">
    <cfRule type="expression" dxfId="471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 xr:uid="{00000000-0002-0000-0B00-000000000000}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HW117"/>
  <sheetViews>
    <sheetView topLeftCell="A17" workbookViewId="0">
      <selection activeCell="F3" sqref="F3:J50"/>
    </sheetView>
  </sheetViews>
  <sheetFormatPr defaultColWidth="0" defaultRowHeight="0" customHeight="1" zeroHeight="1" x14ac:dyDescent="0.2"/>
  <cols>
    <col min="1" max="1" width="6.3203125" customWidth="1"/>
    <col min="2" max="2" width="6.05078125" style="5" bestFit="1" customWidth="1"/>
    <col min="3" max="3" width="9.81640625" style="10" bestFit="1" customWidth="1"/>
    <col min="4" max="4" width="5.24609375" style="10" bestFit="1" customWidth="1"/>
    <col min="5" max="5" width="17.75390625" style="10" bestFit="1" customWidth="1"/>
    <col min="6" max="6" width="25.69140625" style="11" customWidth="1"/>
    <col min="7" max="7" width="2.6875" style="42" customWidth="1"/>
    <col min="8" max="8" width="2.6875" customWidth="1"/>
    <col min="9" max="9" width="2.6875" style="42" customWidth="1"/>
    <col min="10" max="10" width="25.69140625" style="12" customWidth="1"/>
    <col min="11" max="11" width="13.31640625" style="51" hidden="1" customWidth="1"/>
    <col min="12" max="13" width="3.2265625" customWidth="1"/>
    <col min="14" max="14" width="2.82421875" style="1" customWidth="1"/>
    <col min="15" max="15" width="2.015625" style="109" bestFit="1" customWidth="1"/>
    <col min="16" max="16" width="26.09765625" style="113" customWidth="1"/>
    <col min="17" max="17" width="4.70703125" style="322" customWidth="1"/>
    <col min="18" max="18" width="3.765625" style="322" customWidth="1"/>
    <col min="19" max="19" width="1.8828125" style="322" customWidth="1"/>
    <col min="20" max="20" width="2.28515625" style="322" customWidth="1"/>
    <col min="21" max="21" width="3.765625" style="322" customWidth="1"/>
    <col min="22" max="22" width="2.015625" style="322" customWidth="1"/>
    <col min="23" max="24" width="3.765625" style="322" hidden="1" customWidth="1"/>
    <col min="25" max="25" width="12.9140625" style="1" customWidth="1"/>
    <col min="26" max="36" width="9.14453125" hidden="1" customWidth="1"/>
    <col min="37" max="37" width="8.47265625" hidden="1" customWidth="1"/>
    <col min="38" max="38" width="8.7421875" hidden="1" customWidth="1"/>
    <col min="39" max="39" width="10.0859375" hidden="1" customWidth="1"/>
    <col min="40" max="230" width="9.14453125" hidden="1" customWidth="1"/>
    <col min="231" max="231" width="7.26171875" hidden="1" customWidth="1"/>
    <col min="232" max="16384" width="9.14453125" hidden="1"/>
  </cols>
  <sheetData>
    <row r="1" spans="1:25" s="58" customFormat="1" ht="15" customHeight="1" x14ac:dyDescent="0.2">
      <c r="B1" s="496" t="s">
        <v>94</v>
      </c>
      <c r="C1" s="498" t="s">
        <v>95</v>
      </c>
      <c r="D1" s="498" t="s">
        <v>74</v>
      </c>
      <c r="E1" s="500" t="s">
        <v>75</v>
      </c>
      <c r="F1" s="487" t="s">
        <v>96</v>
      </c>
      <c r="G1" s="488"/>
      <c r="H1" s="488"/>
      <c r="I1" s="488"/>
      <c r="J1" s="489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 x14ac:dyDescent="0.25">
      <c r="B2" s="497"/>
      <c r="C2" s="499"/>
      <c r="D2" s="499"/>
      <c r="E2" s="501"/>
      <c r="F2" s="490"/>
      <c r="G2" s="491"/>
      <c r="H2" s="491"/>
      <c r="I2" s="491"/>
      <c r="J2" s="492"/>
      <c r="K2" s="51"/>
      <c r="L2" s="493"/>
      <c r="M2" s="494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 x14ac:dyDescent="0.25">
      <c r="A3" s="60" t="s">
        <v>284</v>
      </c>
      <c r="B3" s="48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26">
        <v>0</v>
      </c>
      <c r="H3" s="327" t="s">
        <v>0</v>
      </c>
      <c r="I3" s="336">
        <v>1</v>
      </c>
      <c r="J3" s="77" t="s">
        <v>142</v>
      </c>
      <c r="K3" s="52"/>
      <c r="L3" s="495">
        <f>IF(OR(Copa2022!F11="",G3=""),"",
IF(AND(Copa2022!F11=G3,Copa2022!H11=I3),Regras!$J$25,IF(Y3=Regras!F25,Regras!$J$26,0)))</f>
        <v>5</v>
      </c>
      <c r="M3" s="495"/>
      <c r="N3" s="318"/>
      <c r="O3" s="502" t="s">
        <v>220</v>
      </c>
      <c r="P3" s="526"/>
      <c r="Q3" s="324" t="str">
        <f>IF(Copa2022!F16="","",IF(Copa2022!O12=Claudio!P4,Regras!$J$27,0))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 x14ac:dyDescent="0.2">
      <c r="A4" s="60" t="s">
        <v>285</v>
      </c>
      <c r="B4" s="485"/>
      <c r="C4" s="171">
        <v>44886</v>
      </c>
      <c r="D4" s="194" t="s">
        <v>134</v>
      </c>
      <c r="E4" s="172" t="s">
        <v>157</v>
      </c>
      <c r="F4" s="78" t="s">
        <v>131</v>
      </c>
      <c r="G4" s="328">
        <v>0</v>
      </c>
      <c r="H4" s="329" t="s">
        <v>0</v>
      </c>
      <c r="I4" s="337">
        <v>1</v>
      </c>
      <c r="J4" s="81" t="s">
        <v>140</v>
      </c>
      <c r="K4" s="52"/>
      <c r="L4" s="495">
        <f>IF(OR(Copa2022!F12="",G4=""),"",
IF(AND(Copa2022!F12=G4,Copa2022!H12=I4),Regras!$J$25,IF(Y4=Regras!F26,Regras!$J$26,0)))</f>
        <v>5</v>
      </c>
      <c r="M4" s="495"/>
      <c r="N4" s="318"/>
      <c r="O4" s="346">
        <v>1</v>
      </c>
      <c r="P4" s="345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 x14ac:dyDescent="0.25">
      <c r="A5" s="60" t="s">
        <v>286</v>
      </c>
      <c r="B5" s="485"/>
      <c r="C5" s="171">
        <v>44890</v>
      </c>
      <c r="D5" s="194" t="s">
        <v>135</v>
      </c>
      <c r="E5" s="172" t="s">
        <v>157</v>
      </c>
      <c r="F5" s="78" t="s">
        <v>141</v>
      </c>
      <c r="G5" s="328">
        <v>1</v>
      </c>
      <c r="H5" s="329" t="s">
        <v>0</v>
      </c>
      <c r="I5" s="337">
        <v>2</v>
      </c>
      <c r="J5" s="81" t="s">
        <v>131</v>
      </c>
      <c r="K5" s="52"/>
      <c r="L5" s="495" t="str">
        <f>IF(OR(Copa2022!F13="",G5=""),"",
IF(AND(Copa2022!F13=G5,Copa2022!H13=I5),Regras!$J$25,IF(Y5=Regras!F27,Regras!$J$26,0)))</f>
        <v/>
      </c>
      <c r="M5" s="495"/>
      <c r="N5" s="318"/>
      <c r="O5" s="349">
        <v>2</v>
      </c>
      <c r="P5" s="350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 x14ac:dyDescent="0.2">
      <c r="A6" s="60" t="s">
        <v>287</v>
      </c>
      <c r="B6" s="485"/>
      <c r="C6" s="171">
        <v>44890</v>
      </c>
      <c r="D6" s="194" t="s">
        <v>134</v>
      </c>
      <c r="E6" s="172" t="s">
        <v>143</v>
      </c>
      <c r="F6" s="78" t="s">
        <v>140</v>
      </c>
      <c r="G6" s="328">
        <v>3</v>
      </c>
      <c r="H6" s="329" t="s">
        <v>0</v>
      </c>
      <c r="I6" s="337">
        <v>1</v>
      </c>
      <c r="J6" s="81" t="s">
        <v>142</v>
      </c>
      <c r="K6" s="52"/>
      <c r="L6" s="495" t="str">
        <f>IF(OR(Copa2022!F14="",G6=""),"",
IF(AND(Copa2022!F14=G6,Copa2022!H14=I6),Regras!$J$25,IF(Y6=Regras!F28,Regras!$J$26,0)))</f>
        <v/>
      </c>
      <c r="M6" s="495"/>
      <c r="N6" s="318"/>
      <c r="O6" s="346">
        <v>3</v>
      </c>
      <c r="P6" s="345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 x14ac:dyDescent="0.25">
      <c r="A7" s="60" t="s">
        <v>288</v>
      </c>
      <c r="B7" s="485"/>
      <c r="C7" s="171">
        <v>44894</v>
      </c>
      <c r="D7" s="194" t="s">
        <v>132</v>
      </c>
      <c r="E7" s="172" t="s">
        <v>161</v>
      </c>
      <c r="F7" s="78" t="s">
        <v>140</v>
      </c>
      <c r="G7" s="328">
        <v>2</v>
      </c>
      <c r="H7" s="329" t="s">
        <v>0</v>
      </c>
      <c r="I7" s="337">
        <v>0</v>
      </c>
      <c r="J7" s="81" t="s">
        <v>141</v>
      </c>
      <c r="K7" s="52"/>
      <c r="L7" s="495" t="str">
        <f>IF(OR(Copa2022!F15="",G7=""),"",
IF(AND(Copa2022!F15=G7,Copa2022!H15=I7),Regras!$J$25,IF(Y7=Regras!F29,Regras!$J$26,0)))</f>
        <v/>
      </c>
      <c r="M7" s="495"/>
      <c r="N7" s="318"/>
      <c r="O7" s="347">
        <v>4</v>
      </c>
      <c r="P7" s="348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 x14ac:dyDescent="0.25">
      <c r="A8" s="60" t="s">
        <v>289</v>
      </c>
      <c r="B8" s="486"/>
      <c r="C8" s="173">
        <v>44590</v>
      </c>
      <c r="D8" s="195" t="s">
        <v>132</v>
      </c>
      <c r="E8" s="174" t="s">
        <v>143</v>
      </c>
      <c r="F8" s="86" t="s">
        <v>142</v>
      </c>
      <c r="G8" s="332">
        <v>0</v>
      </c>
      <c r="H8" s="333" t="s">
        <v>0</v>
      </c>
      <c r="I8" s="338">
        <v>1</v>
      </c>
      <c r="J8" s="89" t="s">
        <v>131</v>
      </c>
      <c r="K8" s="52"/>
      <c r="L8" s="495" t="str">
        <f>IF(OR(Copa2022!F16="",G8=""),"",
IF(AND(Copa2022!F16=G8,Copa2022!H16=I8),Regras!$J$25,IF(Y8=Regras!F30,Regras!$J$26,0)))</f>
        <v/>
      </c>
      <c r="M8" s="495"/>
      <c r="N8" s="318"/>
      <c r="O8" s="353"/>
      <c r="P8" s="354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 x14ac:dyDescent="0.25">
      <c r="A9" s="60" t="s">
        <v>290</v>
      </c>
      <c r="B9" s="48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30">
        <v>2</v>
      </c>
      <c r="H9" s="331" t="s">
        <v>0</v>
      </c>
      <c r="I9" s="339">
        <v>0</v>
      </c>
      <c r="J9" s="85" t="s">
        <v>123</v>
      </c>
      <c r="K9" s="52"/>
      <c r="L9" s="495">
        <f>IF(OR(Copa2022!F17="",G9=""),"",
IF(AND(Copa2022!F17=G9,Copa2022!H17=I9),Regras!$J$25,IF(Y9=Regras!F31,Regras!$J$26,0)))</f>
        <v>5</v>
      </c>
      <c r="M9" s="495"/>
      <c r="N9" s="318"/>
      <c r="O9" s="502" t="s">
        <v>48</v>
      </c>
      <c r="P9" s="503"/>
      <c r="Q9" s="324" t="str">
        <f>IF(Copa2022!F22="","",IF(Copa2022!O18=Claudio!P10,Regras!$J$27,0))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 x14ac:dyDescent="0.2">
      <c r="A10" s="60" t="s">
        <v>291</v>
      </c>
      <c r="B10" s="485"/>
      <c r="C10" s="171">
        <v>44886</v>
      </c>
      <c r="D10" s="194" t="s">
        <v>136</v>
      </c>
      <c r="E10" s="177" t="s">
        <v>162</v>
      </c>
      <c r="F10" s="78" t="s">
        <v>145</v>
      </c>
      <c r="G10" s="328">
        <v>2</v>
      </c>
      <c r="H10" s="329" t="s">
        <v>0</v>
      </c>
      <c r="I10" s="337">
        <v>2</v>
      </c>
      <c r="J10" s="81" t="s">
        <v>158</v>
      </c>
      <c r="K10" s="52"/>
      <c r="L10" s="495">
        <f>IF(OR(Copa2022!F18="",G10=""),"",
IF(AND(Copa2022!F18=G10,Copa2022!H18=I10),Regras!$J$25,IF(Y10=Regras!F32,Regras!$J$26,0)))</f>
        <v>5</v>
      </c>
      <c r="M10" s="495"/>
      <c r="N10" s="318"/>
      <c r="O10" s="346">
        <v>1</v>
      </c>
      <c r="P10" s="345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empate</v>
      </c>
    </row>
    <row r="11" spans="1:25" s="60" customFormat="1" ht="35.1" customHeight="1" thickBot="1" x14ac:dyDescent="0.25">
      <c r="A11" s="60" t="s">
        <v>292</v>
      </c>
      <c r="B11" s="485"/>
      <c r="C11" s="171">
        <v>44890</v>
      </c>
      <c r="D11" s="194" t="s">
        <v>133</v>
      </c>
      <c r="E11" s="177" t="s">
        <v>162</v>
      </c>
      <c r="F11" s="78" t="s">
        <v>158</v>
      </c>
      <c r="G11" s="328">
        <v>1</v>
      </c>
      <c r="H11" s="329" t="s">
        <v>0</v>
      </c>
      <c r="I11" s="337">
        <v>1</v>
      </c>
      <c r="J11" s="81" t="s">
        <v>123</v>
      </c>
      <c r="K11" s="52"/>
      <c r="L11" s="495" t="str">
        <f>IF(OR(Copa2022!F19="",G11=""),"",
IF(AND(Copa2022!F19=G11,Copa2022!H19=I11),Regras!$J$25,IF(Y11=Regras!F33,Regras!$J$26,0)))</f>
        <v/>
      </c>
      <c r="M11" s="495"/>
      <c r="N11" s="318"/>
      <c r="O11" s="349">
        <v>2</v>
      </c>
      <c r="P11" s="350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 x14ac:dyDescent="0.2">
      <c r="A12" s="60" t="s">
        <v>293</v>
      </c>
      <c r="B12" s="485"/>
      <c r="C12" s="171">
        <v>44890</v>
      </c>
      <c r="D12" s="194" t="s">
        <v>136</v>
      </c>
      <c r="E12" s="177" t="s">
        <v>161</v>
      </c>
      <c r="F12" s="78" t="s">
        <v>6</v>
      </c>
      <c r="G12" s="328">
        <v>2</v>
      </c>
      <c r="H12" s="329" t="s">
        <v>0</v>
      </c>
      <c r="I12" s="337">
        <v>1</v>
      </c>
      <c r="J12" s="81" t="s">
        <v>145</v>
      </c>
      <c r="K12" s="52"/>
      <c r="L12" s="495" t="str">
        <f>IF(OR(Copa2022!F20="",G12=""),"",
IF(AND(Copa2022!F20=G12,Copa2022!H20=I12),Regras!$J$25,IF(Y12=Regras!F34,Regras!$J$26,0)))</f>
        <v/>
      </c>
      <c r="M12" s="495"/>
      <c r="N12" s="318"/>
      <c r="O12" s="346">
        <v>3</v>
      </c>
      <c r="P12" s="345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 x14ac:dyDescent="0.25">
      <c r="A13" s="60" t="s">
        <v>294</v>
      </c>
      <c r="B13" s="485"/>
      <c r="C13" s="171">
        <v>44894</v>
      </c>
      <c r="D13" s="194" t="s">
        <v>136</v>
      </c>
      <c r="E13" s="177" t="s">
        <v>162</v>
      </c>
      <c r="F13" s="78" t="s">
        <v>158</v>
      </c>
      <c r="G13" s="328">
        <v>0</v>
      </c>
      <c r="H13" s="329" t="s">
        <v>0</v>
      </c>
      <c r="I13" s="337">
        <v>1</v>
      </c>
      <c r="J13" s="81" t="s">
        <v>6</v>
      </c>
      <c r="K13" s="52"/>
      <c r="L13" s="495" t="str">
        <f>IF(OR(Copa2022!F21="",G13=""),"",
IF(AND(Copa2022!F21=G13,Copa2022!H21=I13),Regras!$J$25,IF(Y13=Regras!F35,Regras!$J$26,0)))</f>
        <v/>
      </c>
      <c r="M13" s="495"/>
      <c r="N13" s="318"/>
      <c r="O13" s="347">
        <v>4</v>
      </c>
      <c r="P13" s="348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 x14ac:dyDescent="0.25">
      <c r="A14" s="60" t="s">
        <v>295</v>
      </c>
      <c r="B14" s="486"/>
      <c r="C14" s="173">
        <v>44894</v>
      </c>
      <c r="D14" s="195" t="s">
        <v>136</v>
      </c>
      <c r="E14" s="178" t="s">
        <v>157</v>
      </c>
      <c r="F14" s="90" t="s">
        <v>123</v>
      </c>
      <c r="G14" s="334">
        <v>0</v>
      </c>
      <c r="H14" s="335" t="s">
        <v>0</v>
      </c>
      <c r="I14" s="340">
        <v>1</v>
      </c>
      <c r="J14" s="93" t="s">
        <v>145</v>
      </c>
      <c r="K14" s="52"/>
      <c r="L14" s="495" t="str">
        <f>IF(OR(Copa2022!F22="",G14=""),"",
IF(AND(Copa2022!F22=G14,Copa2022!H22=I14),Regras!$J$25,IF(Y14=Regras!F36,Regras!$J$26,0)))</f>
        <v/>
      </c>
      <c r="M14" s="495"/>
      <c r="N14" s="318"/>
      <c r="O14" s="344"/>
      <c r="P14" s="345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 x14ac:dyDescent="0.25">
      <c r="A15" s="60" t="s">
        <v>296</v>
      </c>
      <c r="B15" s="48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26">
        <v>3</v>
      </c>
      <c r="H15" s="327" t="s">
        <v>0</v>
      </c>
      <c r="I15" s="336">
        <v>2</v>
      </c>
      <c r="J15" s="77" t="s">
        <v>125</v>
      </c>
      <c r="K15" s="52"/>
      <c r="L15" s="495">
        <f>IF(OR(Copa2022!F23="",G15=""),"",
IF(AND(Copa2022!F23=G15,Copa2022!H23=I15),Regras!$J$25,IF(Y15=Regras!F37,Regras!$J$26,0)))</f>
        <v>0</v>
      </c>
      <c r="M15" s="495"/>
      <c r="N15" s="318"/>
      <c r="O15" s="502" t="s">
        <v>50</v>
      </c>
      <c r="P15" s="503"/>
      <c r="Q15" s="324" t="str">
        <f>IF(Copa2022!F28="","",IF(Copa2022!O24=Claudio!P16,Regras!$J$27,0))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 x14ac:dyDescent="0.2">
      <c r="A16" s="60" t="s">
        <v>297</v>
      </c>
      <c r="B16" s="485"/>
      <c r="C16" s="171">
        <v>44887</v>
      </c>
      <c r="D16" s="194" t="s">
        <v>134</v>
      </c>
      <c r="E16" s="172" t="s">
        <v>163</v>
      </c>
      <c r="F16" s="78" t="s">
        <v>1</v>
      </c>
      <c r="G16" s="328">
        <v>2</v>
      </c>
      <c r="H16" s="329" t="s">
        <v>0</v>
      </c>
      <c r="I16" s="337">
        <v>1</v>
      </c>
      <c r="J16" s="81" t="s">
        <v>130</v>
      </c>
      <c r="K16" s="52"/>
      <c r="L16" s="495">
        <f>IF(OR(Copa2022!F24="",G16=""),"",
IF(AND(Copa2022!F24=G16,Copa2022!H24=I16),Regras!$J$25,IF(Y16=Regras!F38,Regras!$J$26,0)))</f>
        <v>0</v>
      </c>
      <c r="M16" s="495"/>
      <c r="N16" s="318"/>
      <c r="O16" s="346">
        <v>1</v>
      </c>
      <c r="P16" s="345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México</v>
      </c>
    </row>
    <row r="17" spans="1:25" s="60" customFormat="1" ht="35.1" customHeight="1" thickBot="1" x14ac:dyDescent="0.25">
      <c r="A17" s="60" t="s">
        <v>298</v>
      </c>
      <c r="B17" s="485"/>
      <c r="C17" s="171">
        <v>44891</v>
      </c>
      <c r="D17" s="194" t="s">
        <v>135</v>
      </c>
      <c r="E17" s="172" t="s">
        <v>148</v>
      </c>
      <c r="F17" s="78" t="s">
        <v>130</v>
      </c>
      <c r="G17" s="328">
        <v>1</v>
      </c>
      <c r="H17" s="329" t="s">
        <v>0</v>
      </c>
      <c r="I17" s="337">
        <v>1</v>
      </c>
      <c r="J17" s="81" t="s">
        <v>125</v>
      </c>
      <c r="K17" s="52"/>
      <c r="L17" s="495" t="str">
        <f>IF(OR(Copa2022!F25="",G17=""),"",
IF(AND(Copa2022!F25=G17,Copa2022!H25=I17),Regras!$J$25,IF(Y17=Regras!F39,Regras!$J$26,0)))</f>
        <v/>
      </c>
      <c r="M17" s="495"/>
      <c r="N17" s="318"/>
      <c r="O17" s="349">
        <v>2</v>
      </c>
      <c r="P17" s="350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 x14ac:dyDescent="0.2">
      <c r="A18" s="60" t="s">
        <v>299</v>
      </c>
      <c r="B18" s="485"/>
      <c r="C18" s="171">
        <v>44891</v>
      </c>
      <c r="D18" s="194" t="s">
        <v>136</v>
      </c>
      <c r="E18" s="172" t="s">
        <v>146</v>
      </c>
      <c r="F18" s="78" t="s">
        <v>4</v>
      </c>
      <c r="G18" s="328">
        <v>2</v>
      </c>
      <c r="H18" s="329" t="s">
        <v>0</v>
      </c>
      <c r="I18" s="337">
        <v>1</v>
      </c>
      <c r="J18" s="81" t="s">
        <v>1</v>
      </c>
      <c r="K18" s="52"/>
      <c r="L18" s="495" t="str">
        <f>IF(OR(Copa2022!F26="",G18=""),"",
IF(AND(Copa2022!F26=G18,Copa2022!H26=I18),Regras!$J$25,IF(Y18=Regras!F40,Regras!$J$26,0)))</f>
        <v/>
      </c>
      <c r="M18" s="495"/>
      <c r="N18" s="318"/>
      <c r="O18" s="346">
        <v>3</v>
      </c>
      <c r="P18" s="345" t="s">
        <v>125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 x14ac:dyDescent="0.25">
      <c r="A19" s="60" t="s">
        <v>300</v>
      </c>
      <c r="B19" s="485"/>
      <c r="C19" s="171">
        <v>44895</v>
      </c>
      <c r="D19" s="194" t="s">
        <v>136</v>
      </c>
      <c r="E19" s="172" t="s">
        <v>163</v>
      </c>
      <c r="F19" s="78" t="s">
        <v>130</v>
      </c>
      <c r="G19" s="328">
        <v>1</v>
      </c>
      <c r="H19" s="329" t="s">
        <v>0</v>
      </c>
      <c r="I19" s="337">
        <v>2</v>
      </c>
      <c r="J19" s="81" t="s">
        <v>4</v>
      </c>
      <c r="K19" s="52"/>
      <c r="L19" s="495" t="str">
        <f>IF(OR(Copa2022!F27="",G19=""),"",
IF(AND(Copa2022!F27=G19,Copa2022!H27=I19),Regras!$J$25,IF(Y19=Regras!F41,Regras!$J$26,0)))</f>
        <v/>
      </c>
      <c r="M19" s="495"/>
      <c r="N19" s="318"/>
      <c r="O19" s="347">
        <v>4</v>
      </c>
      <c r="P19" s="348" t="s">
        <v>130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 x14ac:dyDescent="0.25">
      <c r="A20" s="60" t="s">
        <v>301</v>
      </c>
      <c r="B20" s="486"/>
      <c r="C20" s="173">
        <v>44895</v>
      </c>
      <c r="D20" s="195" t="s">
        <v>136</v>
      </c>
      <c r="E20" s="174" t="s">
        <v>146</v>
      </c>
      <c r="F20" s="86" t="s">
        <v>125</v>
      </c>
      <c r="G20" s="332">
        <v>1</v>
      </c>
      <c r="H20" s="333" t="s">
        <v>0</v>
      </c>
      <c r="I20" s="338">
        <v>2</v>
      </c>
      <c r="J20" s="89" t="s">
        <v>1</v>
      </c>
      <c r="K20" s="52"/>
      <c r="L20" s="495" t="str">
        <f>IF(OR(Copa2022!F28="",G20=""),"",
IF(AND(Copa2022!F28=G20,Copa2022!H28=I20),Regras!$J$25,IF(Y20=Regras!F42,Regras!$J$26,0)))</f>
        <v/>
      </c>
      <c r="M20" s="495"/>
      <c r="N20" s="318"/>
      <c r="O20" s="344"/>
      <c r="P20" s="345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 x14ac:dyDescent="0.25">
      <c r="A21" s="60" t="s">
        <v>302</v>
      </c>
      <c r="B21" s="48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30">
        <v>1</v>
      </c>
      <c r="H21" s="331" t="s">
        <v>0</v>
      </c>
      <c r="I21" s="339">
        <v>0</v>
      </c>
      <c r="J21" s="85" t="s">
        <v>129</v>
      </c>
      <c r="K21" s="52"/>
      <c r="L21" s="495">
        <f>IF(OR(Copa2022!F29="",G21=""),"",
IF(AND(Copa2022!F29=G21,Copa2022!H29=I21),Regras!$J$25,IF(Y21=Regras!F43,Regras!$J$26,0)))</f>
        <v>0</v>
      </c>
      <c r="M21" s="495"/>
      <c r="N21" s="318"/>
      <c r="O21" s="502" t="s">
        <v>51</v>
      </c>
      <c r="P21" s="503"/>
      <c r="Q21" s="324" t="str">
        <f>IF(Copa2022!F34="","",IF(Copa2022!O30=Claudio!P22,Regras!$J$27,0))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 x14ac:dyDescent="0.2">
      <c r="A22" s="60" t="s">
        <v>303</v>
      </c>
      <c r="B22" s="485"/>
      <c r="C22" s="171">
        <v>44887</v>
      </c>
      <c r="D22" s="194" t="s">
        <v>136</v>
      </c>
      <c r="E22" s="177" t="s">
        <v>164</v>
      </c>
      <c r="F22" s="78" t="s">
        <v>3</v>
      </c>
      <c r="G22" s="328">
        <v>2</v>
      </c>
      <c r="H22" s="329" t="s">
        <v>0</v>
      </c>
      <c r="I22" s="337">
        <v>0</v>
      </c>
      <c r="J22" s="81" t="s">
        <v>159</v>
      </c>
      <c r="K22" s="52"/>
      <c r="L22" s="495">
        <f>IF(OR(Copa2022!F30="",G22=""),"",
IF(AND(Copa2022!F30=G22,Copa2022!H30=I22),Regras!$J$25,IF(Y22=Regras!F44,Regras!$J$26,0)))</f>
        <v>5</v>
      </c>
      <c r="M22" s="495"/>
      <c r="N22" s="318"/>
      <c r="O22" s="346">
        <v>1</v>
      </c>
      <c r="P22" s="345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 x14ac:dyDescent="0.25">
      <c r="A23" s="60" t="s">
        <v>304</v>
      </c>
      <c r="B23" s="485"/>
      <c r="C23" s="171">
        <v>44891</v>
      </c>
      <c r="D23" s="194" t="s">
        <v>133</v>
      </c>
      <c r="E23" s="177" t="s">
        <v>164</v>
      </c>
      <c r="F23" s="78" t="s">
        <v>129</v>
      </c>
      <c r="G23" s="328">
        <v>0</v>
      </c>
      <c r="H23" s="329" t="s">
        <v>0</v>
      </c>
      <c r="I23" s="337">
        <v>1</v>
      </c>
      <c r="J23" s="81" t="s">
        <v>159</v>
      </c>
      <c r="K23" s="52"/>
      <c r="L23" s="495" t="str">
        <f>IF(OR(Copa2022!F31="",G23=""),"",
IF(AND(Copa2022!F31=G23,Copa2022!H31=I23),Regras!$J$25,IF(Y23=Regras!F45,Regras!$J$26,0)))</f>
        <v/>
      </c>
      <c r="M23" s="495"/>
      <c r="N23" s="318"/>
      <c r="O23" s="349">
        <v>2</v>
      </c>
      <c r="P23" s="350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 x14ac:dyDescent="0.2">
      <c r="A24" s="60" t="s">
        <v>305</v>
      </c>
      <c r="B24" s="485"/>
      <c r="C24" s="171">
        <v>44891</v>
      </c>
      <c r="D24" s="194" t="s">
        <v>134</v>
      </c>
      <c r="E24" s="177" t="s">
        <v>163</v>
      </c>
      <c r="F24" s="78" t="s">
        <v>3</v>
      </c>
      <c r="G24" s="328">
        <v>2</v>
      </c>
      <c r="H24" s="329" t="s">
        <v>0</v>
      </c>
      <c r="I24" s="337">
        <v>1</v>
      </c>
      <c r="J24" s="81" t="s">
        <v>127</v>
      </c>
      <c r="K24" s="52"/>
      <c r="L24" s="495" t="str">
        <f>IF(OR(Copa2022!F32="",G24=""),"",
IF(AND(Copa2022!F32=G24,Copa2022!H32=I24),Regras!$J$25,IF(Y24=Regras!F46,Regras!$J$26,0)))</f>
        <v/>
      </c>
      <c r="M24" s="495"/>
      <c r="N24" s="318"/>
      <c r="O24" s="346">
        <v>3</v>
      </c>
      <c r="P24" s="345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 x14ac:dyDescent="0.25">
      <c r="A25" s="60" t="s">
        <v>306</v>
      </c>
      <c r="B25" s="485"/>
      <c r="C25" s="171">
        <v>44895</v>
      </c>
      <c r="D25" s="194" t="s">
        <v>132</v>
      </c>
      <c r="E25" s="177" t="s">
        <v>148</v>
      </c>
      <c r="F25" s="78" t="s">
        <v>129</v>
      </c>
      <c r="G25" s="328">
        <v>0</v>
      </c>
      <c r="H25" s="329" t="s">
        <v>0</v>
      </c>
      <c r="I25" s="337">
        <v>2</v>
      </c>
      <c r="J25" s="81" t="s">
        <v>3</v>
      </c>
      <c r="K25" s="52"/>
      <c r="L25" s="495" t="str">
        <f>IF(OR(Copa2022!F33="",G25=""),"",
IF(AND(Copa2022!F33=G25,Copa2022!H33=I25),Regras!$J$25,IF(Y25=Regras!F47,Regras!$J$26,0)))</f>
        <v/>
      </c>
      <c r="M25" s="495"/>
      <c r="N25" s="318"/>
      <c r="O25" s="347">
        <v>4</v>
      </c>
      <c r="P25" s="348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 x14ac:dyDescent="0.25">
      <c r="A26" s="60" t="s">
        <v>307</v>
      </c>
      <c r="B26" s="486"/>
      <c r="C26" s="173">
        <v>44895</v>
      </c>
      <c r="D26" s="195" t="s">
        <v>132</v>
      </c>
      <c r="E26" s="178" t="s">
        <v>164</v>
      </c>
      <c r="F26" s="90" t="s">
        <v>159</v>
      </c>
      <c r="G26" s="334">
        <v>1</v>
      </c>
      <c r="H26" s="335" t="s">
        <v>0</v>
      </c>
      <c r="I26" s="340">
        <v>2</v>
      </c>
      <c r="J26" s="93" t="s">
        <v>127</v>
      </c>
      <c r="K26" s="52"/>
      <c r="L26" s="495" t="str">
        <f>IF(OR(Copa2022!F34="",G26=""),"",
IF(AND(Copa2022!F34=G26,Copa2022!H34=I26),Regras!$J$25,IF(Y26=Regras!F48,Regras!$J$26,0)))</f>
        <v/>
      </c>
      <c r="M26" s="495"/>
      <c r="N26" s="318"/>
      <c r="O26" s="344"/>
      <c r="P26" s="345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 x14ac:dyDescent="0.25">
      <c r="A27" s="60" t="s">
        <v>308</v>
      </c>
      <c r="B27" s="48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26">
        <v>3</v>
      </c>
      <c r="H27" s="327" t="s">
        <v>0</v>
      </c>
      <c r="I27" s="336">
        <v>1</v>
      </c>
      <c r="J27" s="77" t="s">
        <v>8</v>
      </c>
      <c r="K27" s="52"/>
      <c r="L27" s="495" t="str">
        <f>IF(OR(Copa2022!F35="",G27=""),"",
IF(AND(Copa2022!F35=G27,Copa2022!H35=I27),Regras!$J$25,IF(Y27=Regras!F49,Regras!$J$26,0)))</f>
        <v/>
      </c>
      <c r="M27" s="495"/>
      <c r="N27" s="318"/>
      <c r="O27" s="502" t="s">
        <v>53</v>
      </c>
      <c r="P27" s="503"/>
      <c r="Q27" s="324" t="str">
        <f>IF(Copa2022!F40="","",IF(Copa2022!O36=Claudio!P28,Regras!$J$27,0))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 x14ac:dyDescent="0.2">
      <c r="A28" s="60" t="s">
        <v>309</v>
      </c>
      <c r="B28" s="485"/>
      <c r="C28" s="171">
        <v>44888</v>
      </c>
      <c r="D28" s="194" t="s">
        <v>134</v>
      </c>
      <c r="E28" s="172" t="s">
        <v>157</v>
      </c>
      <c r="F28" s="78" t="s">
        <v>11</v>
      </c>
      <c r="G28" s="328">
        <v>2</v>
      </c>
      <c r="H28" s="329" t="s">
        <v>0</v>
      </c>
      <c r="I28" s="337">
        <v>0</v>
      </c>
      <c r="J28" s="81" t="s">
        <v>160</v>
      </c>
      <c r="K28" s="52"/>
      <c r="L28" s="495" t="str">
        <f>IF(OR(Copa2022!F36="",G28=""),"",
IF(AND(Copa2022!F36=G28,Copa2022!H36=I28),Regras!$J$25,IF(Y28=Regras!F50,Regras!$J$26,0)))</f>
        <v/>
      </c>
      <c r="M28" s="495"/>
      <c r="N28" s="318"/>
      <c r="O28" s="346">
        <v>1</v>
      </c>
      <c r="P28" s="345" t="s">
        <v>11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 x14ac:dyDescent="0.25">
      <c r="A29" s="60" t="s">
        <v>310</v>
      </c>
      <c r="B29" s="485"/>
      <c r="C29" s="171">
        <v>44892</v>
      </c>
      <c r="D29" s="194" t="s">
        <v>133</v>
      </c>
      <c r="E29" s="172" t="s">
        <v>162</v>
      </c>
      <c r="F29" s="78" t="s">
        <v>8</v>
      </c>
      <c r="G29" s="328">
        <v>1</v>
      </c>
      <c r="H29" s="329" t="s">
        <v>0</v>
      </c>
      <c r="I29" s="337">
        <v>1</v>
      </c>
      <c r="J29" s="81" t="s">
        <v>160</v>
      </c>
      <c r="K29" s="52"/>
      <c r="L29" s="495" t="str">
        <f>IF(OR(Copa2022!F37="",G29=""),"",
IF(AND(Copa2022!F37=G29,Copa2022!H37=I29),Regras!$J$25,IF(Y29=Regras!F51,Regras!$J$26,0)))</f>
        <v/>
      </c>
      <c r="M29" s="495"/>
      <c r="N29" s="318"/>
      <c r="O29" s="349">
        <v>2</v>
      </c>
      <c r="P29" s="350" t="s">
        <v>7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 x14ac:dyDescent="0.2">
      <c r="A30" s="60" t="s">
        <v>311</v>
      </c>
      <c r="B30" s="485"/>
      <c r="C30" s="171">
        <v>44892</v>
      </c>
      <c r="D30" s="194" t="s">
        <v>136</v>
      </c>
      <c r="E30" s="172" t="s">
        <v>161</v>
      </c>
      <c r="F30" s="78" t="s">
        <v>11</v>
      </c>
      <c r="G30" s="328">
        <v>2</v>
      </c>
      <c r="H30" s="329" t="s">
        <v>0</v>
      </c>
      <c r="I30" s="337">
        <v>1</v>
      </c>
      <c r="J30" s="81" t="s">
        <v>7</v>
      </c>
      <c r="K30" s="52"/>
      <c r="L30" s="495" t="str">
        <f>IF(OR(Copa2022!F38="",G30=""),"",
IF(AND(Copa2022!F38=G30,Copa2022!H38=I30),Regras!$J$25,IF(Y30=Regras!F52,Regras!$J$26,0)))</f>
        <v/>
      </c>
      <c r="M30" s="495"/>
      <c r="N30" s="318"/>
      <c r="O30" s="346">
        <v>3</v>
      </c>
      <c r="P30" s="345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 x14ac:dyDescent="0.25">
      <c r="A31" s="60" t="s">
        <v>312</v>
      </c>
      <c r="B31" s="485"/>
      <c r="C31" s="171">
        <v>44896</v>
      </c>
      <c r="D31" s="194" t="s">
        <v>136</v>
      </c>
      <c r="E31" s="172" t="s">
        <v>143</v>
      </c>
      <c r="F31" s="78" t="s">
        <v>8</v>
      </c>
      <c r="G31" s="328">
        <v>1</v>
      </c>
      <c r="H31" s="329" t="s">
        <v>0</v>
      </c>
      <c r="I31" s="337">
        <v>1</v>
      </c>
      <c r="J31" s="81" t="s">
        <v>11</v>
      </c>
      <c r="K31" s="52"/>
      <c r="L31" s="495" t="str">
        <f>IF(OR(Copa2022!F39="",G31=""),"",
IF(AND(Copa2022!F39=G31,Copa2022!H39=I31),Regras!$J$25,IF(Y31=Regras!F53,Regras!$J$26,0)))</f>
        <v/>
      </c>
      <c r="M31" s="495"/>
      <c r="N31" s="318"/>
      <c r="O31" s="347">
        <v>4</v>
      </c>
      <c r="P31" s="348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 x14ac:dyDescent="0.25">
      <c r="A32" s="60" t="s">
        <v>313</v>
      </c>
      <c r="B32" s="486"/>
      <c r="C32" s="173">
        <v>44896</v>
      </c>
      <c r="D32" s="195" t="s">
        <v>136</v>
      </c>
      <c r="E32" s="174" t="s">
        <v>161</v>
      </c>
      <c r="F32" s="86" t="s">
        <v>160</v>
      </c>
      <c r="G32" s="332">
        <v>0</v>
      </c>
      <c r="H32" s="333" t="s">
        <v>0</v>
      </c>
      <c r="I32" s="338">
        <v>2</v>
      </c>
      <c r="J32" s="89" t="s">
        <v>7</v>
      </c>
      <c r="K32" s="52"/>
      <c r="L32" s="495" t="str">
        <f>IF(OR(Copa2022!F40="",G32=""),"",
IF(AND(Copa2022!F40=G32,Copa2022!H40=I32),Regras!$J$25,IF(Y32=Regras!F54,Regras!$J$26,0)))</f>
        <v/>
      </c>
      <c r="M32" s="495"/>
      <c r="N32" s="318"/>
      <c r="O32" s="344"/>
      <c r="P32" s="345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 x14ac:dyDescent="0.25">
      <c r="A33" s="60" t="s">
        <v>314</v>
      </c>
      <c r="B33" s="48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30">
        <v>1</v>
      </c>
      <c r="H33" s="331" t="s">
        <v>0</v>
      </c>
      <c r="I33" s="339">
        <v>3</v>
      </c>
      <c r="J33" s="85" t="s">
        <v>70</v>
      </c>
      <c r="K33" s="52"/>
      <c r="L33" s="495" t="str">
        <f>IF(OR(Copa2022!F41="",G33=""),"",
IF(AND(Copa2022!F41=G33,Copa2022!H41=I33),Regras!$J$25,IF(Y33=Regras!F55,Regras!$J$26,0)))</f>
        <v/>
      </c>
      <c r="M33" s="495"/>
      <c r="N33" s="318"/>
      <c r="O33" s="502" t="s">
        <v>56</v>
      </c>
      <c r="P33" s="503"/>
      <c r="Q33" s="324" t="str">
        <f>IF(Copa2022!F46="","",IF(Copa2022!O42=Claudio!P34,Regras!$J$27,0))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/>
      </c>
    </row>
    <row r="34" spans="1:25" s="60" customFormat="1" ht="35.1" customHeight="1" x14ac:dyDescent="0.2">
      <c r="A34" s="60" t="s">
        <v>315</v>
      </c>
      <c r="B34" s="485"/>
      <c r="C34" s="171">
        <v>44888</v>
      </c>
      <c r="D34" s="194" t="s">
        <v>136</v>
      </c>
      <c r="E34" s="177" t="s">
        <v>162</v>
      </c>
      <c r="F34" s="78" t="s">
        <v>104</v>
      </c>
      <c r="G34" s="328">
        <v>2</v>
      </c>
      <c r="H34" s="329" t="s">
        <v>0</v>
      </c>
      <c r="I34" s="337">
        <v>0</v>
      </c>
      <c r="J34" s="81" t="s">
        <v>150</v>
      </c>
      <c r="K34" s="52"/>
      <c r="L34" s="495" t="str">
        <f>IF(OR(Copa2022!F42="",G34=""),"",
IF(AND(Copa2022!F42=G34,Copa2022!H42=I34),Regras!$J$25,IF(Y34=Regras!F56,Regras!$J$26,0)))</f>
        <v/>
      </c>
      <c r="M34" s="495"/>
      <c r="N34" s="318"/>
      <c r="O34" s="346">
        <v>1</v>
      </c>
      <c r="P34" s="345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 x14ac:dyDescent="0.25">
      <c r="A35" s="60" t="s">
        <v>316</v>
      </c>
      <c r="B35" s="485"/>
      <c r="C35" s="171">
        <v>44892</v>
      </c>
      <c r="D35" s="194" t="s">
        <v>135</v>
      </c>
      <c r="E35" s="177" t="s">
        <v>157</v>
      </c>
      <c r="F35" s="78" t="s">
        <v>104</v>
      </c>
      <c r="G35" s="328">
        <v>2</v>
      </c>
      <c r="H35" s="329" t="s">
        <v>0</v>
      </c>
      <c r="I35" s="337">
        <v>1</v>
      </c>
      <c r="J35" s="81" t="s">
        <v>126</v>
      </c>
      <c r="K35" s="52"/>
      <c r="L35" s="495" t="str">
        <f>IF(OR(Copa2022!F43="",G35=""),"",
IF(AND(Copa2022!F43=G35,Copa2022!H43=I35),Regras!$J$25,IF(Y35=Regras!F57,Regras!$J$26,0)))</f>
        <v/>
      </c>
      <c r="M35" s="495"/>
      <c r="N35" s="318"/>
      <c r="O35" s="349">
        <v>2</v>
      </c>
      <c r="P35" s="350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 x14ac:dyDescent="0.2">
      <c r="A36" s="60" t="s">
        <v>317</v>
      </c>
      <c r="B36" s="485"/>
      <c r="C36" s="171">
        <v>44892</v>
      </c>
      <c r="D36" s="194" t="s">
        <v>134</v>
      </c>
      <c r="E36" s="177" t="s">
        <v>143</v>
      </c>
      <c r="F36" s="78" t="s">
        <v>70</v>
      </c>
      <c r="G36" s="328">
        <v>3</v>
      </c>
      <c r="H36" s="329" t="s">
        <v>0</v>
      </c>
      <c r="I36" s="337">
        <v>0</v>
      </c>
      <c r="J36" s="81" t="s">
        <v>150</v>
      </c>
      <c r="K36" s="52"/>
      <c r="L36" s="495" t="str">
        <f>IF(OR(Copa2022!F44="",G36=""),"",
IF(AND(Copa2022!F44=G36,Copa2022!H44=I36),Regras!$J$25,IF(Y36=Regras!F58,Regras!$J$26,0)))</f>
        <v/>
      </c>
      <c r="M36" s="495"/>
      <c r="N36" s="318"/>
      <c r="O36" s="346">
        <v>3</v>
      </c>
      <c r="P36" s="345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 x14ac:dyDescent="0.25">
      <c r="A37" s="60" t="s">
        <v>318</v>
      </c>
      <c r="B37" s="485"/>
      <c r="C37" s="171">
        <v>44896</v>
      </c>
      <c r="D37" s="194" t="s">
        <v>132</v>
      </c>
      <c r="E37" s="177" t="s">
        <v>162</v>
      </c>
      <c r="F37" s="78" t="s">
        <v>70</v>
      </c>
      <c r="G37" s="328">
        <v>1</v>
      </c>
      <c r="H37" s="329" t="s">
        <v>0</v>
      </c>
      <c r="I37" s="337">
        <v>2</v>
      </c>
      <c r="J37" s="81" t="s">
        <v>104</v>
      </c>
      <c r="K37" s="52"/>
      <c r="L37" s="495" t="str">
        <f>IF(OR(Copa2022!F45="",G37=""),"",
IF(AND(Copa2022!F45=G37,Copa2022!H45=I37),Regras!$J$25,IF(Y37=Regras!F59,Regras!$J$26,0)))</f>
        <v/>
      </c>
      <c r="M37" s="495"/>
      <c r="N37" s="318"/>
      <c r="O37" s="347">
        <v>4</v>
      </c>
      <c r="P37" s="348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 x14ac:dyDescent="0.25">
      <c r="A38" s="60" t="s">
        <v>319</v>
      </c>
      <c r="B38" s="486"/>
      <c r="C38" s="173">
        <v>44896</v>
      </c>
      <c r="D38" s="195" t="s">
        <v>132</v>
      </c>
      <c r="E38" s="178" t="s">
        <v>157</v>
      </c>
      <c r="F38" s="90" t="s">
        <v>150</v>
      </c>
      <c r="G38" s="334">
        <v>1</v>
      </c>
      <c r="H38" s="335" t="s">
        <v>0</v>
      </c>
      <c r="I38" s="340">
        <v>0</v>
      </c>
      <c r="J38" s="93" t="s">
        <v>126</v>
      </c>
      <c r="K38" s="52"/>
      <c r="L38" s="495" t="str">
        <f>IF(OR(Copa2022!F46="",G38=""),"",
IF(AND(Copa2022!F46=G38,Copa2022!H46=I38),Regras!$J$25,IF(Y38=Regras!F60,Regras!$J$26,0)))</f>
        <v/>
      </c>
      <c r="M38" s="495"/>
      <c r="N38" s="318"/>
      <c r="O38" s="344"/>
      <c r="P38" s="345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 x14ac:dyDescent="0.25">
      <c r="A39" s="60" t="s">
        <v>320</v>
      </c>
      <c r="B39" s="48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26">
        <v>2</v>
      </c>
      <c r="H39" s="327" t="s">
        <v>0</v>
      </c>
      <c r="I39" s="336">
        <v>1</v>
      </c>
      <c r="J39" s="77" t="s">
        <v>151</v>
      </c>
      <c r="K39" s="52"/>
      <c r="L39" s="495" t="str">
        <f>IF(OR(Copa2022!F47="",G39=""),"",
IF(AND(Copa2022!F47=G39,Copa2022!H47=I39),Regras!$J$25,IF(Y39=Regras!F61,Regras!$J$26,0)))</f>
        <v/>
      </c>
      <c r="M39" s="495"/>
      <c r="N39" s="318"/>
      <c r="O39" s="502" t="s">
        <v>58</v>
      </c>
      <c r="P39" s="503"/>
      <c r="Q39" s="324" t="str">
        <f>IF(Copa2022!F52="","",IF(Copa2022!O48=Claudio!P40,Regras!$J$27,0))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 x14ac:dyDescent="0.2">
      <c r="A40" s="60" t="s">
        <v>321</v>
      </c>
      <c r="B40" s="485"/>
      <c r="C40" s="171">
        <v>44889</v>
      </c>
      <c r="D40" s="194" t="s">
        <v>136</v>
      </c>
      <c r="E40" s="172" t="s">
        <v>146</v>
      </c>
      <c r="F40" s="78" t="s">
        <v>10</v>
      </c>
      <c r="G40" s="328">
        <v>1</v>
      </c>
      <c r="H40" s="329" t="s">
        <v>0</v>
      </c>
      <c r="I40" s="337">
        <v>0</v>
      </c>
      <c r="J40" s="81" t="s">
        <v>128</v>
      </c>
      <c r="K40" s="52"/>
      <c r="L40" s="495" t="str">
        <f>IF(OR(Copa2022!F48="",G40=""),"",
IF(AND(Copa2022!F48=G40,Copa2022!H48=I40),Regras!$J$25,IF(Y40=Regras!F62,Regras!$J$26,0)))</f>
        <v/>
      </c>
      <c r="M40" s="495"/>
      <c r="N40" s="318"/>
      <c r="O40" s="351">
        <v>1</v>
      </c>
      <c r="P40" s="352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 x14ac:dyDescent="0.25">
      <c r="A41" s="60" t="s">
        <v>322</v>
      </c>
      <c r="B41" s="485"/>
      <c r="C41" s="171">
        <v>44893</v>
      </c>
      <c r="D41" s="194" t="s">
        <v>133</v>
      </c>
      <c r="E41" s="172" t="s">
        <v>164</v>
      </c>
      <c r="F41" s="78" t="s">
        <v>151</v>
      </c>
      <c r="G41" s="328">
        <v>2</v>
      </c>
      <c r="H41" s="329" t="s">
        <v>0</v>
      </c>
      <c r="I41" s="337">
        <v>0</v>
      </c>
      <c r="J41" s="81" t="s">
        <v>128</v>
      </c>
      <c r="K41" s="52"/>
      <c r="L41" s="495" t="str">
        <f>IF(OR(Copa2022!F49="",G41=""),"",
IF(AND(Copa2022!F49=G41,Copa2022!H49=I41),Regras!$J$25,IF(Y41=Regras!F63,Regras!$J$26,0)))</f>
        <v/>
      </c>
      <c r="M41" s="495"/>
      <c r="N41" s="318"/>
      <c r="O41" s="349">
        <v>2</v>
      </c>
      <c r="P41" s="350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 x14ac:dyDescent="0.2">
      <c r="A42" s="60" t="s">
        <v>323</v>
      </c>
      <c r="B42" s="485"/>
      <c r="C42" s="171">
        <v>44893</v>
      </c>
      <c r="D42" s="194" t="s">
        <v>134</v>
      </c>
      <c r="E42" s="172" t="s">
        <v>163</v>
      </c>
      <c r="F42" s="78" t="s">
        <v>10</v>
      </c>
      <c r="G42" s="328">
        <v>2</v>
      </c>
      <c r="H42" s="329" t="s">
        <v>0</v>
      </c>
      <c r="I42" s="337">
        <v>0</v>
      </c>
      <c r="J42" s="81" t="s">
        <v>12</v>
      </c>
      <c r="K42" s="52"/>
      <c r="L42" s="495" t="str">
        <f>IF(OR(Copa2022!F50="",G42=""),"",
IF(AND(Copa2022!F50=G42,Copa2022!H50=I42),Regras!$J$25,IF(Y42=Regras!F64,Regras!$J$26,0)))</f>
        <v/>
      </c>
      <c r="M42" s="495"/>
      <c r="N42" s="318"/>
      <c r="O42" s="346">
        <v>3</v>
      </c>
      <c r="P42" s="345" t="s">
        <v>151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 x14ac:dyDescent="0.25">
      <c r="A43" s="60" t="s">
        <v>324</v>
      </c>
      <c r="B43" s="485"/>
      <c r="C43" s="171">
        <v>44897</v>
      </c>
      <c r="D43" s="194" t="s">
        <v>136</v>
      </c>
      <c r="E43" s="172" t="s">
        <v>146</v>
      </c>
      <c r="F43" s="78" t="s">
        <v>151</v>
      </c>
      <c r="G43" s="328">
        <v>1</v>
      </c>
      <c r="H43" s="329" t="s">
        <v>0</v>
      </c>
      <c r="I43" s="337">
        <v>3</v>
      </c>
      <c r="J43" s="81" t="s">
        <v>10</v>
      </c>
      <c r="K43" s="52"/>
      <c r="L43" s="495" t="str">
        <f>IF(OR(Copa2022!F51="",G43=""),"",
IF(AND(Copa2022!F51=G43,Copa2022!H51=I43),Regras!$J$25,IF(Y43=Regras!F65,Regras!$J$26,0)))</f>
        <v/>
      </c>
      <c r="M43" s="495"/>
      <c r="N43" s="318"/>
      <c r="O43" s="347">
        <v>4</v>
      </c>
      <c r="P43" s="348" t="s">
        <v>128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 x14ac:dyDescent="0.25">
      <c r="A44" s="60" t="s">
        <v>325</v>
      </c>
      <c r="B44" s="486"/>
      <c r="C44" s="173">
        <v>44897</v>
      </c>
      <c r="D44" s="195" t="s">
        <v>136</v>
      </c>
      <c r="E44" s="174" t="s">
        <v>163</v>
      </c>
      <c r="F44" s="86" t="s">
        <v>128</v>
      </c>
      <c r="G44" s="332">
        <v>1</v>
      </c>
      <c r="H44" s="333" t="s">
        <v>0</v>
      </c>
      <c r="I44" s="338">
        <v>2</v>
      </c>
      <c r="J44" s="89" t="s">
        <v>12</v>
      </c>
      <c r="K44" s="52"/>
      <c r="L44" s="495" t="str">
        <f>IF(OR(Copa2022!F52="",G44=""),"",
IF(AND(Copa2022!F52=G44,Copa2022!H52=I44),Regras!$J$25,IF(Y44=Regras!F66,Regras!$J$26,0)))</f>
        <v/>
      </c>
      <c r="M44" s="495"/>
      <c r="N44" s="318"/>
      <c r="O44" s="344"/>
      <c r="P44" s="345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 x14ac:dyDescent="0.25">
      <c r="A45" s="60" t="s">
        <v>326</v>
      </c>
      <c r="B45" s="48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30">
        <v>3</v>
      </c>
      <c r="H45" s="331" t="s">
        <v>0</v>
      </c>
      <c r="I45" s="339">
        <v>1</v>
      </c>
      <c r="J45" s="85" t="s">
        <v>5</v>
      </c>
      <c r="K45" s="52"/>
      <c r="L45" s="495" t="str">
        <f>IF(OR(Copa2022!F53="",G45=""),"",
IF(AND(Copa2022!F53=G45,Copa2022!H53=I45),Regras!$J$25,IF(Y45=Regras!F67,Regras!$J$26,0)))</f>
        <v/>
      </c>
      <c r="M45" s="495"/>
      <c r="N45" s="318"/>
      <c r="O45" s="502" t="s">
        <v>59</v>
      </c>
      <c r="P45" s="503"/>
      <c r="Q45" s="324" t="str">
        <f>IF(Copa2022!F58="","",IF(Copa2022!O54=Claudio!P46,Regras!$J$27,0))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 x14ac:dyDescent="0.2">
      <c r="A46" s="60" t="s">
        <v>327</v>
      </c>
      <c r="B46" s="485"/>
      <c r="C46" s="171">
        <v>44889</v>
      </c>
      <c r="D46" s="194" t="s">
        <v>134</v>
      </c>
      <c r="E46" s="177" t="s">
        <v>163</v>
      </c>
      <c r="F46" s="78" t="s">
        <v>9</v>
      </c>
      <c r="G46" s="328">
        <v>2</v>
      </c>
      <c r="H46" s="329" t="s">
        <v>0</v>
      </c>
      <c r="I46" s="337">
        <v>0</v>
      </c>
      <c r="J46" s="81" t="s">
        <v>152</v>
      </c>
      <c r="K46" s="52"/>
      <c r="L46" s="495" t="str">
        <f>IF(OR(Copa2022!F54="",G46=""),"",
IF(AND(Copa2022!F54=G46,Copa2022!H54=I46),Regras!$J$25,IF(Y46=Regras!F68,Regras!$J$26,0)))</f>
        <v/>
      </c>
      <c r="M46" s="495"/>
      <c r="N46" s="318"/>
      <c r="O46" s="346">
        <v>1</v>
      </c>
      <c r="P46" s="345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 x14ac:dyDescent="0.25">
      <c r="A47" s="60" t="s">
        <v>328</v>
      </c>
      <c r="B47" s="485"/>
      <c r="C47" s="171">
        <v>44893</v>
      </c>
      <c r="D47" s="194" t="s">
        <v>135</v>
      </c>
      <c r="E47" s="177" t="s">
        <v>148</v>
      </c>
      <c r="F47" s="78" t="s">
        <v>5</v>
      </c>
      <c r="G47" s="328">
        <v>0</v>
      </c>
      <c r="H47" s="329" t="s">
        <v>0</v>
      </c>
      <c r="I47" s="337">
        <v>2</v>
      </c>
      <c r="J47" s="81" t="s">
        <v>152</v>
      </c>
      <c r="K47" s="52"/>
      <c r="L47" s="495" t="str">
        <f>IF(OR(Copa2022!F55="",G47=""),"",
IF(AND(Copa2022!F55=G47,Copa2022!H55=I47),Regras!$J$25,IF(Y47=Regras!F69,Regras!$J$26,0)))</f>
        <v/>
      </c>
      <c r="M47" s="495"/>
      <c r="N47" s="318"/>
      <c r="O47" s="349">
        <v>2</v>
      </c>
      <c r="P47" s="350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 x14ac:dyDescent="0.2">
      <c r="A48" s="60" t="s">
        <v>329</v>
      </c>
      <c r="B48" s="485"/>
      <c r="C48" s="171">
        <v>44893</v>
      </c>
      <c r="D48" s="194" t="s">
        <v>136</v>
      </c>
      <c r="E48" s="177" t="s">
        <v>146</v>
      </c>
      <c r="F48" s="78" t="s">
        <v>9</v>
      </c>
      <c r="G48" s="328">
        <v>2</v>
      </c>
      <c r="H48" s="329" t="s">
        <v>0</v>
      </c>
      <c r="I48" s="337">
        <v>2</v>
      </c>
      <c r="J48" s="81" t="s">
        <v>2</v>
      </c>
      <c r="K48" s="52"/>
      <c r="L48" s="495" t="str">
        <f>IF(OR(Copa2022!F56="",G48=""),"",
IF(AND(Copa2022!F56=G48,Copa2022!H56=I48),Regras!$J$25,IF(Y48=Regras!F70,Regras!$J$26,0)))</f>
        <v/>
      </c>
      <c r="M48" s="495"/>
      <c r="N48" s="318"/>
      <c r="O48" s="346">
        <v>3</v>
      </c>
      <c r="P48" s="345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 x14ac:dyDescent="0.25">
      <c r="A49" s="60" t="s">
        <v>330</v>
      </c>
      <c r="B49" s="485"/>
      <c r="C49" s="171">
        <v>44897</v>
      </c>
      <c r="D49" s="194" t="s">
        <v>132</v>
      </c>
      <c r="E49" s="177" t="s">
        <v>148</v>
      </c>
      <c r="F49" s="78" t="s">
        <v>5</v>
      </c>
      <c r="G49" s="328">
        <v>0</v>
      </c>
      <c r="H49" s="329" t="s">
        <v>0</v>
      </c>
      <c r="I49" s="337">
        <v>2</v>
      </c>
      <c r="J49" s="81" t="s">
        <v>9</v>
      </c>
      <c r="K49" s="52"/>
      <c r="L49" s="495" t="str">
        <f>IF(OR(Copa2022!F57="",G49=""),"",
IF(AND(Copa2022!F57=G49,Copa2022!H57=I49),Regras!$J$25,IF(Y49=Regras!F71,Regras!$J$26,0)))</f>
        <v/>
      </c>
      <c r="M49" s="495"/>
      <c r="N49" s="318"/>
      <c r="O49" s="347">
        <v>4</v>
      </c>
      <c r="P49" s="348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 x14ac:dyDescent="0.25">
      <c r="A50" s="477" t="s">
        <v>331</v>
      </c>
      <c r="B50" s="486"/>
      <c r="C50" s="173">
        <v>44897</v>
      </c>
      <c r="D50" s="195" t="s">
        <v>132</v>
      </c>
      <c r="E50" s="178" t="s">
        <v>164</v>
      </c>
      <c r="F50" s="19" t="s">
        <v>152</v>
      </c>
      <c r="G50" s="341">
        <v>1</v>
      </c>
      <c r="H50" s="342" t="s">
        <v>0</v>
      </c>
      <c r="I50" s="343">
        <v>2</v>
      </c>
      <c r="J50" s="130" t="s">
        <v>2</v>
      </c>
      <c r="K50" s="52"/>
      <c r="L50" s="495" t="str">
        <f>IF(OR(Copa2022!F58="",G50=""),"",
IF(AND(Copa2022!F58=G50,Copa2022!H58=I50),Regras!$J$25,IF(Y50=Regras!F72,Regras!$J$26,0)))</f>
        <v/>
      </c>
      <c r="M50" s="495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x14ac:dyDescent="0.2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 x14ac:dyDescent="0.25">
      <c r="B52" s="44"/>
      <c r="C52" s="506" t="s">
        <v>124</v>
      </c>
      <c r="D52" s="507"/>
      <c r="E52" s="507"/>
      <c r="F52" s="507"/>
      <c r="G52" s="507"/>
      <c r="H52" s="507"/>
      <c r="I52" s="507"/>
      <c r="J52" s="507"/>
      <c r="K52" s="507"/>
      <c r="L52" s="507"/>
      <c r="M52" s="508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 x14ac:dyDescent="0.25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4" t="s">
        <v>78</v>
      </c>
      <c r="M53" s="505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 x14ac:dyDescent="0.25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 x14ac:dyDescent="0.25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 x14ac:dyDescent="0.25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 x14ac:dyDescent="0.25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 x14ac:dyDescent="0.25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 x14ac:dyDescent="0.25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 x14ac:dyDescent="0.25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 x14ac:dyDescent="0.25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 x14ac:dyDescent="0.25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23" t="s">
        <v>78</v>
      </c>
      <c r="M62" s="524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 x14ac:dyDescent="0.25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 x14ac:dyDescent="0.25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 x14ac:dyDescent="0.25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 x14ac:dyDescent="0.25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 x14ac:dyDescent="0.25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20" t="s">
        <v>78</v>
      </c>
      <c r="M67" s="522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 x14ac:dyDescent="0.25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 x14ac:dyDescent="0.25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 x14ac:dyDescent="0.25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20" t="s">
        <v>78</v>
      </c>
      <c r="M70" s="522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 x14ac:dyDescent="0.25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 x14ac:dyDescent="0.25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20" t="s">
        <v>78</v>
      </c>
      <c r="M72" s="521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 x14ac:dyDescent="0.25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 x14ac:dyDescent="0.2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 x14ac:dyDescent="0.25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 x14ac:dyDescent="0.25">
      <c r="C76" s="2"/>
      <c r="D76" s="2"/>
      <c r="E76" s="125" t="s">
        <v>83</v>
      </c>
      <c r="F76" s="511">
        <f>'2ª Fase'!E40:I40</f>
        <v>0</v>
      </c>
      <c r="G76" s="511"/>
      <c r="H76" s="511"/>
      <c r="I76" s="511"/>
      <c r="J76" s="512"/>
      <c r="K76" s="50"/>
      <c r="L76" s="1"/>
      <c r="M76" s="1"/>
    </row>
    <row r="77" spans="1:25" ht="15" customHeight="1" x14ac:dyDescent="0.2">
      <c r="C77" s="2"/>
      <c r="D77" s="2"/>
      <c r="E77" s="126" t="s">
        <v>84</v>
      </c>
      <c r="F77" s="513">
        <f>'2ª Fase'!E41:I41</f>
        <v>0</v>
      </c>
      <c r="G77" s="513"/>
      <c r="H77" s="513"/>
      <c r="I77" s="513"/>
      <c r="J77" s="514"/>
      <c r="K77" s="50"/>
      <c r="L77" s="1"/>
      <c r="M77" s="1"/>
    </row>
    <row r="78" spans="1:25" ht="15" customHeight="1" x14ac:dyDescent="0.2">
      <c r="C78" s="2"/>
      <c r="D78" s="2"/>
      <c r="E78" s="127" t="s">
        <v>102</v>
      </c>
      <c r="F78" s="515">
        <f>'2ª Fase'!E42:I42</f>
        <v>0</v>
      </c>
      <c r="G78" s="515"/>
      <c r="H78" s="515"/>
      <c r="I78" s="515"/>
      <c r="J78" s="516"/>
      <c r="K78" s="50"/>
      <c r="L78" s="1"/>
      <c r="M78" s="1"/>
    </row>
    <row r="79" spans="1:25" ht="15" customHeight="1" thickBot="1" x14ac:dyDescent="0.25">
      <c r="C79" s="2"/>
      <c r="D79" s="2"/>
      <c r="E79" s="128" t="s">
        <v>103</v>
      </c>
      <c r="F79" s="517">
        <f>'2ª Fase'!E43:I43</f>
        <v>0</v>
      </c>
      <c r="G79" s="517"/>
      <c r="H79" s="517"/>
      <c r="I79" s="517"/>
      <c r="J79" s="518"/>
      <c r="K79" s="50"/>
      <c r="L79" s="1"/>
      <c r="M79" s="1"/>
    </row>
    <row r="80" spans="1:25" ht="15" hidden="1" customHeight="1" x14ac:dyDescent="0.2">
      <c r="C80" s="2"/>
      <c r="D80" s="2"/>
      <c r="E80" s="192"/>
      <c r="F80" s="509"/>
      <c r="G80" s="509"/>
      <c r="H80" s="509"/>
      <c r="I80" s="509"/>
      <c r="J80" s="510"/>
      <c r="K80" s="50"/>
      <c r="L80" s="129"/>
      <c r="M80" s="1"/>
    </row>
    <row r="81" spans="3:13" ht="15.75" x14ac:dyDescent="0.2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 x14ac:dyDescent="0.2"/>
    <row r="90" spans="3:13" ht="15.75" customHeight="1" x14ac:dyDescent="0.2"/>
    <row r="91" spans="3:13" ht="15.75" customHeight="1" x14ac:dyDescent="0.2"/>
    <row r="92" spans="3:13" ht="15.75" customHeight="1" x14ac:dyDescent="0.2"/>
    <row r="93" spans="3:13" ht="15.75" customHeight="1" x14ac:dyDescent="0.2"/>
    <row r="94" spans="3:13" ht="15.75" customHeight="1" x14ac:dyDescent="0.2"/>
    <row r="95" spans="3:13" ht="15.75" customHeight="1" x14ac:dyDescent="0.2"/>
    <row r="96" spans="3:13" ht="15.75" customHeight="1" x14ac:dyDescent="0.2"/>
    <row r="117" spans="2:25" s="9" customFormat="1" ht="15.75" hidden="1" x14ac:dyDescent="0.2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F76:J76"/>
    <mergeCell ref="F77:J77"/>
    <mergeCell ref="F78:J78"/>
    <mergeCell ref="F79:J79"/>
    <mergeCell ref="F80:J80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B39:B44"/>
    <mergeCell ref="L39:M39"/>
    <mergeCell ref="O39:P39"/>
    <mergeCell ref="L40:M40"/>
    <mergeCell ref="L41:M41"/>
    <mergeCell ref="L42:M42"/>
    <mergeCell ref="L43:M43"/>
    <mergeCell ref="L44:M44"/>
    <mergeCell ref="B33:B38"/>
    <mergeCell ref="L33:M33"/>
    <mergeCell ref="O33:P33"/>
    <mergeCell ref="L34:M34"/>
    <mergeCell ref="L35:M35"/>
    <mergeCell ref="L36:M36"/>
    <mergeCell ref="L37:M37"/>
    <mergeCell ref="L38:M38"/>
    <mergeCell ref="B27:B32"/>
    <mergeCell ref="L27:M27"/>
    <mergeCell ref="O27:P27"/>
    <mergeCell ref="L28:M28"/>
    <mergeCell ref="L29:M29"/>
    <mergeCell ref="L30:M30"/>
    <mergeCell ref="L31:M31"/>
    <mergeCell ref="L32:M32"/>
    <mergeCell ref="B21:B26"/>
    <mergeCell ref="L21:M21"/>
    <mergeCell ref="O21:P21"/>
    <mergeCell ref="L22:M22"/>
    <mergeCell ref="L23:M23"/>
    <mergeCell ref="L24:M24"/>
    <mergeCell ref="L25:M25"/>
    <mergeCell ref="L26:M26"/>
    <mergeCell ref="B15:B20"/>
    <mergeCell ref="L15:M15"/>
    <mergeCell ref="O15:P15"/>
    <mergeCell ref="L16:M16"/>
    <mergeCell ref="L17:M17"/>
    <mergeCell ref="L18:M18"/>
    <mergeCell ref="L19:M19"/>
    <mergeCell ref="L20:M20"/>
    <mergeCell ref="B9:B14"/>
    <mergeCell ref="L9:M9"/>
    <mergeCell ref="O9:P9"/>
    <mergeCell ref="L10:M10"/>
    <mergeCell ref="L11:M11"/>
    <mergeCell ref="L12:M12"/>
    <mergeCell ref="L13:M13"/>
    <mergeCell ref="L14:M14"/>
    <mergeCell ref="B3:B8"/>
    <mergeCell ref="L3:M3"/>
    <mergeCell ref="O3:P3"/>
    <mergeCell ref="L4:M4"/>
    <mergeCell ref="L5:M5"/>
    <mergeCell ref="L6:M6"/>
    <mergeCell ref="L7:M7"/>
    <mergeCell ref="L8:M8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470" priority="51" stopIfTrue="1" operator="equal">
      <formula>#REF!</formula>
    </cfRule>
  </conditionalFormatting>
  <conditionalFormatting sqref="M54:N54">
    <cfRule type="expression" dxfId="469" priority="50">
      <formula>$H$14="penaltis"</formula>
    </cfRule>
  </conditionalFormatting>
  <conditionalFormatting sqref="L55:N55">
    <cfRule type="expression" dxfId="468" priority="49">
      <formula>$H$15="penaltis"</formula>
    </cfRule>
  </conditionalFormatting>
  <conditionalFormatting sqref="L56:N56">
    <cfRule type="expression" dxfId="467" priority="48">
      <formula>$H$16="penaltis"</formula>
    </cfRule>
  </conditionalFormatting>
  <conditionalFormatting sqref="L57:N57">
    <cfRule type="expression" dxfId="466" priority="47">
      <formula>$H$17="penaltis"</formula>
    </cfRule>
  </conditionalFormatting>
  <conditionalFormatting sqref="L58:N58">
    <cfRule type="expression" dxfId="465" priority="46">
      <formula>$H$18="penaltis"</formula>
    </cfRule>
  </conditionalFormatting>
  <conditionalFormatting sqref="L59:N59">
    <cfRule type="expression" dxfId="464" priority="45">
      <formula>$H$19="penaltis"</formula>
    </cfRule>
  </conditionalFormatting>
  <conditionalFormatting sqref="L60:N60">
    <cfRule type="expression" dxfId="463" priority="44">
      <formula>$H$20="penaltis"</formula>
    </cfRule>
  </conditionalFormatting>
  <conditionalFormatting sqref="L61:N61">
    <cfRule type="expression" dxfId="462" priority="43">
      <formula>$H$21="penaltis"</formula>
    </cfRule>
  </conditionalFormatting>
  <conditionalFormatting sqref="N63">
    <cfRule type="expression" dxfId="461" priority="42">
      <formula>$H$23="penaltis"</formula>
    </cfRule>
  </conditionalFormatting>
  <conditionalFormatting sqref="N64">
    <cfRule type="expression" dxfId="460" priority="41" stopIfTrue="1">
      <formula>$H$24="penaltis"</formula>
    </cfRule>
  </conditionalFormatting>
  <conditionalFormatting sqref="N65">
    <cfRule type="expression" dxfId="459" priority="40" stopIfTrue="1">
      <formula>$H$25="penaltis"</formula>
    </cfRule>
  </conditionalFormatting>
  <conditionalFormatting sqref="N66">
    <cfRule type="expression" dxfId="458" priority="39" stopIfTrue="1">
      <formula>$H$26="penaltis"</formula>
    </cfRule>
  </conditionalFormatting>
  <conditionalFormatting sqref="N68">
    <cfRule type="expression" dxfId="457" priority="38" stopIfTrue="1">
      <formula>$H$28="penaltis"</formula>
    </cfRule>
  </conditionalFormatting>
  <conditionalFormatting sqref="N69">
    <cfRule type="expression" dxfId="456" priority="37" stopIfTrue="1">
      <formula>$H$29="penaltis"</formula>
    </cfRule>
  </conditionalFormatting>
  <conditionalFormatting sqref="N71">
    <cfRule type="expression" dxfId="455" priority="36" stopIfTrue="1">
      <formula>$H$31="penaltis"</formula>
    </cfRule>
  </conditionalFormatting>
  <conditionalFormatting sqref="N73">
    <cfRule type="expression" dxfId="454" priority="35" stopIfTrue="1">
      <formula>$H$33="penaltis"</formula>
    </cfRule>
  </conditionalFormatting>
  <conditionalFormatting sqref="L54:M54">
    <cfRule type="expression" dxfId="453" priority="34" stopIfTrue="1">
      <formula>$K$54="penaltis"</formula>
    </cfRule>
  </conditionalFormatting>
  <conditionalFormatting sqref="L55:M55">
    <cfRule type="expression" dxfId="452" priority="33" stopIfTrue="1">
      <formula>$K$55="penaltis"</formula>
    </cfRule>
  </conditionalFormatting>
  <conditionalFormatting sqref="L56:M56">
    <cfRule type="expression" dxfId="451" priority="32" stopIfTrue="1">
      <formula>$K$56="penaltis"</formula>
    </cfRule>
  </conditionalFormatting>
  <conditionalFormatting sqref="L57:M57">
    <cfRule type="expression" dxfId="450" priority="31" stopIfTrue="1">
      <formula>$K$57="penaltis"</formula>
    </cfRule>
  </conditionalFormatting>
  <conditionalFormatting sqref="L58:M58">
    <cfRule type="expression" dxfId="449" priority="30" stopIfTrue="1">
      <formula>$K$58="penaltis"</formula>
    </cfRule>
  </conditionalFormatting>
  <conditionalFormatting sqref="L59:M59">
    <cfRule type="expression" dxfId="448" priority="29" stopIfTrue="1">
      <formula>$K$59="penaltis"</formula>
    </cfRule>
  </conditionalFormatting>
  <conditionalFormatting sqref="L60:M60">
    <cfRule type="expression" dxfId="447" priority="28" stopIfTrue="1">
      <formula>$K$60="penaltis"</formula>
    </cfRule>
  </conditionalFormatting>
  <conditionalFormatting sqref="L61:M61">
    <cfRule type="expression" dxfId="446" priority="27" stopIfTrue="1">
      <formula>$K$61="penaltis"</formula>
    </cfRule>
  </conditionalFormatting>
  <conditionalFormatting sqref="L63:M63">
    <cfRule type="expression" dxfId="445" priority="26">
      <formula>$K$63="penaltis"</formula>
    </cfRule>
  </conditionalFormatting>
  <conditionalFormatting sqref="L64:M64">
    <cfRule type="expression" dxfId="444" priority="25">
      <formula>$K$64="penaltis"</formula>
    </cfRule>
  </conditionalFormatting>
  <conditionalFormatting sqref="L65:M65">
    <cfRule type="expression" dxfId="443" priority="24">
      <formula>$K$65="penaltis"</formula>
    </cfRule>
  </conditionalFormatting>
  <conditionalFormatting sqref="L66:M66">
    <cfRule type="expression" dxfId="442" priority="23">
      <formula>$K$66="penaltis"</formula>
    </cfRule>
  </conditionalFormatting>
  <conditionalFormatting sqref="L68:M68">
    <cfRule type="expression" dxfId="441" priority="22">
      <formula>$K$68="penaltis"</formula>
    </cfRule>
  </conditionalFormatting>
  <conditionalFormatting sqref="L69:M69">
    <cfRule type="expression" dxfId="440" priority="21">
      <formula>$K$69="penaltis"</formula>
    </cfRule>
  </conditionalFormatting>
  <conditionalFormatting sqref="L71:M71">
    <cfRule type="expression" dxfId="439" priority="20">
      <formula>$K$71="penaltis"</formula>
    </cfRule>
  </conditionalFormatting>
  <conditionalFormatting sqref="L73:M73">
    <cfRule type="expression" dxfId="438" priority="19">
      <formula>$K$73="penaltis"</formula>
    </cfRule>
  </conditionalFormatting>
  <conditionalFormatting sqref="Q4:X5">
    <cfRule type="expression" dxfId="437" priority="18">
      <formula>$R$8=12</formula>
    </cfRule>
  </conditionalFormatting>
  <conditionalFormatting sqref="Q10:X11">
    <cfRule type="expression" dxfId="436" priority="17">
      <formula>$R$14=12</formula>
    </cfRule>
  </conditionalFormatting>
  <conditionalFormatting sqref="Q16:X17">
    <cfRule type="expression" dxfId="435" priority="16">
      <formula>$R$20=12</formula>
    </cfRule>
  </conditionalFormatting>
  <conditionalFormatting sqref="Q22:X23">
    <cfRule type="expression" dxfId="434" priority="15">
      <formula>$R$26=12</formula>
    </cfRule>
  </conditionalFormatting>
  <conditionalFormatting sqref="Q28:X29">
    <cfRule type="expression" dxfId="433" priority="14">
      <formula>$R$32=12</formula>
    </cfRule>
  </conditionalFormatting>
  <conditionalFormatting sqref="Q34:X35">
    <cfRule type="expression" dxfId="432" priority="13">
      <formula>$R$38=12</formula>
    </cfRule>
  </conditionalFormatting>
  <conditionalFormatting sqref="Q40:X41">
    <cfRule type="expression" dxfId="431" priority="12">
      <formula>$R$44=12</formula>
    </cfRule>
  </conditionalFormatting>
  <conditionalFormatting sqref="Q46:X47">
    <cfRule type="expression" dxfId="430" priority="11">
      <formula>$R$50=12</formula>
    </cfRule>
  </conditionalFormatting>
  <conditionalFormatting sqref="F62:J73 B45 B9 B15 B21 B27 B33 B3 F3:F50 J3:J50">
    <cfRule type="cellIs" dxfId="429" priority="52" stopIfTrue="1" operator="equal">
      <formula>#REF!</formula>
    </cfRule>
  </conditionalFormatting>
  <conditionalFormatting sqref="B39">
    <cfRule type="cellIs" dxfId="428" priority="10" stopIfTrue="1" operator="equal">
      <formula>#REF!</formula>
    </cfRule>
  </conditionalFormatting>
  <conditionalFormatting sqref="F54:J61">
    <cfRule type="cellIs" dxfId="427" priority="9" stopIfTrue="1" operator="equal">
      <formula>$Z$7</formula>
    </cfRule>
  </conditionalFormatting>
  <conditionalFormatting sqref="O4:P5">
    <cfRule type="expression" dxfId="426" priority="8">
      <formula>$R$16=12</formula>
    </cfRule>
  </conditionalFormatting>
  <conditionalFormatting sqref="O10:P11">
    <cfRule type="expression" dxfId="425" priority="7">
      <formula>$R$22=12</formula>
    </cfRule>
  </conditionalFormatting>
  <conditionalFormatting sqref="O16:P17">
    <cfRule type="expression" dxfId="424" priority="6">
      <formula>$R$28=12</formula>
    </cfRule>
  </conditionalFormatting>
  <conditionalFormatting sqref="O22:P23">
    <cfRule type="expression" dxfId="423" priority="5">
      <formula>$R$34=12</formula>
    </cfRule>
  </conditionalFormatting>
  <conditionalFormatting sqref="O28:P29">
    <cfRule type="expression" dxfId="422" priority="4">
      <formula>$R$40=12</formula>
    </cfRule>
  </conditionalFormatting>
  <conditionalFormatting sqref="O34:P35">
    <cfRule type="expression" dxfId="421" priority="3">
      <formula>$R$46=12</formula>
    </cfRule>
  </conditionalFormatting>
  <conditionalFormatting sqref="O40:P41">
    <cfRule type="expression" dxfId="420" priority="2">
      <formula>$R$52=12</formula>
    </cfRule>
  </conditionalFormatting>
  <conditionalFormatting sqref="O46:P47">
    <cfRule type="expression" dxfId="419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 xr:uid="{00000000-0002-0000-0C00-000000000000}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HW117"/>
  <sheetViews>
    <sheetView topLeftCell="A17" workbookViewId="0">
      <selection activeCell="F3" sqref="F3:J50"/>
    </sheetView>
  </sheetViews>
  <sheetFormatPr defaultColWidth="0" defaultRowHeight="0" customHeight="1" zeroHeight="1" x14ac:dyDescent="0.2"/>
  <cols>
    <col min="1" max="1" width="6.3203125" customWidth="1"/>
    <col min="2" max="2" width="6.05078125" style="5" bestFit="1" customWidth="1"/>
    <col min="3" max="3" width="9.81640625" style="10" bestFit="1" customWidth="1"/>
    <col min="4" max="4" width="5.24609375" style="10" bestFit="1" customWidth="1"/>
    <col min="5" max="5" width="17.75390625" style="10" bestFit="1" customWidth="1"/>
    <col min="6" max="6" width="25.69140625" style="11" customWidth="1"/>
    <col min="7" max="7" width="2.6875" style="42" customWidth="1"/>
    <col min="8" max="8" width="2.6875" customWidth="1"/>
    <col min="9" max="9" width="2.6875" style="42" customWidth="1"/>
    <col min="10" max="10" width="25.69140625" style="12" customWidth="1"/>
    <col min="11" max="11" width="13.31640625" style="51" hidden="1" customWidth="1"/>
    <col min="12" max="13" width="3.2265625" customWidth="1"/>
    <col min="14" max="14" width="2.82421875" style="1" customWidth="1"/>
    <col min="15" max="15" width="2.015625" style="109" bestFit="1" customWidth="1"/>
    <col min="16" max="16" width="26.09765625" style="113" customWidth="1"/>
    <col min="17" max="17" width="4.70703125" style="322" customWidth="1"/>
    <col min="18" max="18" width="3.765625" style="322" customWidth="1"/>
    <col min="19" max="19" width="1.8828125" style="322" customWidth="1"/>
    <col min="20" max="20" width="2.28515625" style="322" customWidth="1"/>
    <col min="21" max="21" width="3.765625" style="322" customWidth="1"/>
    <col min="22" max="22" width="2.015625" style="322" customWidth="1"/>
    <col min="23" max="24" width="3.765625" style="322" hidden="1" customWidth="1"/>
    <col min="25" max="25" width="12.9140625" style="1" customWidth="1"/>
    <col min="26" max="36" width="9.14453125" hidden="1" customWidth="1"/>
    <col min="37" max="37" width="8.47265625" hidden="1" customWidth="1"/>
    <col min="38" max="38" width="8.7421875" hidden="1" customWidth="1"/>
    <col min="39" max="39" width="10.0859375" hidden="1" customWidth="1"/>
    <col min="40" max="230" width="9.14453125" hidden="1" customWidth="1"/>
    <col min="231" max="231" width="7.26171875" hidden="1" customWidth="1"/>
    <col min="232" max="16384" width="9.14453125" hidden="1"/>
  </cols>
  <sheetData>
    <row r="1" spans="1:25" s="58" customFormat="1" ht="15" customHeight="1" x14ac:dyDescent="0.2">
      <c r="B1" s="496" t="s">
        <v>94</v>
      </c>
      <c r="C1" s="498" t="s">
        <v>95</v>
      </c>
      <c r="D1" s="498" t="s">
        <v>74</v>
      </c>
      <c r="E1" s="500" t="s">
        <v>75</v>
      </c>
      <c r="F1" s="487" t="s">
        <v>96</v>
      </c>
      <c r="G1" s="488"/>
      <c r="H1" s="488"/>
      <c r="I1" s="488"/>
      <c r="J1" s="489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 x14ac:dyDescent="0.25">
      <c r="B2" s="497"/>
      <c r="C2" s="499"/>
      <c r="D2" s="499"/>
      <c r="E2" s="501"/>
      <c r="F2" s="490"/>
      <c r="G2" s="491"/>
      <c r="H2" s="491"/>
      <c r="I2" s="491"/>
      <c r="J2" s="492"/>
      <c r="K2" s="51"/>
      <c r="L2" s="493"/>
      <c r="M2" s="494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 x14ac:dyDescent="0.25">
      <c r="A3" s="60" t="s">
        <v>284</v>
      </c>
      <c r="B3" s="48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26">
        <v>0</v>
      </c>
      <c r="H3" s="327" t="s">
        <v>0</v>
      </c>
      <c r="I3" s="336">
        <v>0</v>
      </c>
      <c r="J3" s="77" t="s">
        <v>142</v>
      </c>
      <c r="K3" s="52"/>
      <c r="L3" s="495">
        <f>IF(OR(Copa2022!F11="",G3=""),"",
IF(AND(Copa2022!F11=Eduardo!G3,Copa2022!H11=Eduardo!I3),Regras!$J$25,IF(Y3=Regras!F25,Regras!$J$26,0)))</f>
        <v>0</v>
      </c>
      <c r="M3" s="495"/>
      <c r="N3" s="318"/>
      <c r="O3" s="502" t="s">
        <v>220</v>
      </c>
      <c r="P3" s="526"/>
      <c r="Q3" s="324" t="str">
        <f>IF(Copa2022!F16="","",IF(Copa2022!O12=Eduardo!P4,Regras!$J$27,0))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empate</v>
      </c>
    </row>
    <row r="4" spans="1:25" s="60" customFormat="1" ht="35.1" customHeight="1" x14ac:dyDescent="0.2">
      <c r="A4" s="60" t="s">
        <v>285</v>
      </c>
      <c r="B4" s="485"/>
      <c r="C4" s="171">
        <v>44886</v>
      </c>
      <c r="D4" s="194" t="s">
        <v>134</v>
      </c>
      <c r="E4" s="172" t="s">
        <v>157</v>
      </c>
      <c r="F4" s="78" t="s">
        <v>131</v>
      </c>
      <c r="G4" s="328">
        <v>0</v>
      </c>
      <c r="H4" s="329" t="s">
        <v>0</v>
      </c>
      <c r="I4" s="337">
        <v>2</v>
      </c>
      <c r="J4" s="81" t="s">
        <v>140</v>
      </c>
      <c r="K4" s="52"/>
      <c r="L4" s="495">
        <f>IF(OR(Copa2022!F12="",G4=""),"",
IF(AND(Copa2022!F12=Eduardo!G4,Copa2022!H12=Eduardo!I4),Regras!$J$25,IF(Y4=Regras!F26,Regras!$J$26,0)))</f>
        <v>10</v>
      </c>
      <c r="M4" s="495"/>
      <c r="N4" s="318"/>
      <c r="O4" s="346">
        <v>1</v>
      </c>
      <c r="P4" s="345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 x14ac:dyDescent="0.25">
      <c r="A5" s="60" t="s">
        <v>286</v>
      </c>
      <c r="B5" s="485"/>
      <c r="C5" s="171">
        <v>44890</v>
      </c>
      <c r="D5" s="194" t="s">
        <v>135</v>
      </c>
      <c r="E5" s="172" t="s">
        <v>157</v>
      </c>
      <c r="F5" s="78" t="s">
        <v>141</v>
      </c>
      <c r="G5" s="328">
        <v>1</v>
      </c>
      <c r="H5" s="329" t="s">
        <v>0</v>
      </c>
      <c r="I5" s="337">
        <v>0</v>
      </c>
      <c r="J5" s="81" t="s">
        <v>131</v>
      </c>
      <c r="K5" s="52"/>
      <c r="L5" s="495" t="str">
        <f>IF(OR(Copa2022!F13="",G5=""),"",
IF(AND(Copa2022!F13=Eduardo!G5,Copa2022!H13=Eduardo!I5),Regras!$J$25,IF(Y5=Regras!F27,Regras!$J$26,0)))</f>
        <v/>
      </c>
      <c r="M5" s="495"/>
      <c r="N5" s="318"/>
      <c r="O5" s="349">
        <v>2</v>
      </c>
      <c r="P5" s="350" t="s">
        <v>142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 x14ac:dyDescent="0.2">
      <c r="A6" s="60" t="s">
        <v>287</v>
      </c>
      <c r="B6" s="485"/>
      <c r="C6" s="171">
        <v>44890</v>
      </c>
      <c r="D6" s="194" t="s">
        <v>134</v>
      </c>
      <c r="E6" s="172" t="s">
        <v>143</v>
      </c>
      <c r="F6" s="78" t="s">
        <v>140</v>
      </c>
      <c r="G6" s="328">
        <v>1</v>
      </c>
      <c r="H6" s="329" t="s">
        <v>0</v>
      </c>
      <c r="I6" s="337">
        <v>0</v>
      </c>
      <c r="J6" s="81" t="s">
        <v>142</v>
      </c>
      <c r="K6" s="52"/>
      <c r="L6" s="495" t="str">
        <f>IF(OR(Copa2022!F14="",G6=""),"",
IF(AND(Copa2022!F14=Eduardo!G6,Copa2022!H14=Eduardo!I6),Regras!$J$25,IF(Y6=Regras!F28,Regras!$J$26,0)))</f>
        <v/>
      </c>
      <c r="M6" s="495"/>
      <c r="N6" s="318"/>
      <c r="O6" s="346">
        <v>3</v>
      </c>
      <c r="P6" s="345" t="s">
        <v>141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 x14ac:dyDescent="0.25">
      <c r="A7" s="60" t="s">
        <v>288</v>
      </c>
      <c r="B7" s="485"/>
      <c r="C7" s="171">
        <v>44894</v>
      </c>
      <c r="D7" s="194" t="s">
        <v>132</v>
      </c>
      <c r="E7" s="172" t="s">
        <v>161</v>
      </c>
      <c r="F7" s="78" t="s">
        <v>140</v>
      </c>
      <c r="G7" s="328">
        <v>2</v>
      </c>
      <c r="H7" s="329" t="s">
        <v>0</v>
      </c>
      <c r="I7" s="337">
        <v>0</v>
      </c>
      <c r="J7" s="81" t="s">
        <v>141</v>
      </c>
      <c r="K7" s="52"/>
      <c r="L7" s="495" t="str">
        <f>IF(OR(Copa2022!F15="",G7=""),"",
IF(AND(Copa2022!F15=Eduardo!G7,Copa2022!H15=Eduardo!I7),Regras!$J$25,IF(Y7=Regras!F29,Regras!$J$26,0)))</f>
        <v/>
      </c>
      <c r="M7" s="495"/>
      <c r="N7" s="318"/>
      <c r="O7" s="347">
        <v>4</v>
      </c>
      <c r="P7" s="348" t="s">
        <v>131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 x14ac:dyDescent="0.25">
      <c r="A8" s="60" t="s">
        <v>289</v>
      </c>
      <c r="B8" s="486"/>
      <c r="C8" s="173">
        <v>44590</v>
      </c>
      <c r="D8" s="195" t="s">
        <v>132</v>
      </c>
      <c r="E8" s="174" t="s">
        <v>143</v>
      </c>
      <c r="F8" s="86" t="s">
        <v>142</v>
      </c>
      <c r="G8" s="332">
        <v>1</v>
      </c>
      <c r="H8" s="333" t="s">
        <v>0</v>
      </c>
      <c r="I8" s="338">
        <v>0</v>
      </c>
      <c r="J8" s="89" t="s">
        <v>131</v>
      </c>
      <c r="K8" s="52"/>
      <c r="L8" s="495" t="str">
        <f>IF(OR(Copa2022!F16="",G8=""),"",
IF(AND(Copa2022!F16=Eduardo!G8,Copa2022!H16=Eduardo!I8),Regras!$J$25,IF(Y8=Regras!F30,Regras!$J$26,0)))</f>
        <v/>
      </c>
      <c r="M8" s="495"/>
      <c r="N8" s="318"/>
      <c r="O8" s="353"/>
      <c r="P8" s="354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 x14ac:dyDescent="0.25">
      <c r="A9" s="60" t="s">
        <v>290</v>
      </c>
      <c r="B9" s="48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30">
        <v>2</v>
      </c>
      <c r="H9" s="331" t="s">
        <v>0</v>
      </c>
      <c r="I9" s="339">
        <v>0</v>
      </c>
      <c r="J9" s="85" t="s">
        <v>123</v>
      </c>
      <c r="K9" s="52"/>
      <c r="L9" s="495">
        <f>IF(OR(Copa2022!F17="",G9=""),"",
IF(AND(Copa2022!F17=Eduardo!G9,Copa2022!H17=Eduardo!I9),Regras!$J$25,IF(Y9=Regras!F31,Regras!$J$26,0)))</f>
        <v>5</v>
      </c>
      <c r="M9" s="495"/>
      <c r="N9" s="318"/>
      <c r="O9" s="502" t="s">
        <v>48</v>
      </c>
      <c r="P9" s="503"/>
      <c r="Q9" s="324" t="str">
        <f>IF(Copa2022!F22="","",IF(Copa2022!O18=Eduardo!P10,Regras!$J$27,0))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 x14ac:dyDescent="0.2">
      <c r="A10" s="60" t="s">
        <v>291</v>
      </c>
      <c r="B10" s="485"/>
      <c r="C10" s="171">
        <v>44886</v>
      </c>
      <c r="D10" s="194" t="s">
        <v>136</v>
      </c>
      <c r="E10" s="177" t="s">
        <v>162</v>
      </c>
      <c r="F10" s="78" t="s">
        <v>145</v>
      </c>
      <c r="G10" s="328">
        <v>0</v>
      </c>
      <c r="H10" s="329" t="s">
        <v>0</v>
      </c>
      <c r="I10" s="337">
        <v>1</v>
      </c>
      <c r="J10" s="81" t="s">
        <v>158</v>
      </c>
      <c r="K10" s="52"/>
      <c r="L10" s="495">
        <f>IF(OR(Copa2022!F18="",G10=""),"",
IF(AND(Copa2022!F18=Eduardo!G10,Copa2022!H18=Eduardo!I10),Regras!$J$25,IF(Y10=Regras!F32,Regras!$J$26,0)))</f>
        <v>0</v>
      </c>
      <c r="M10" s="495"/>
      <c r="N10" s="318"/>
      <c r="O10" s="346">
        <v>1</v>
      </c>
      <c r="P10" s="345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País de Gales</v>
      </c>
    </row>
    <row r="11" spans="1:25" s="60" customFormat="1" ht="35.1" customHeight="1" thickBot="1" x14ac:dyDescent="0.25">
      <c r="A11" s="60" t="s">
        <v>292</v>
      </c>
      <c r="B11" s="485"/>
      <c r="C11" s="171">
        <v>44890</v>
      </c>
      <c r="D11" s="194" t="s">
        <v>133</v>
      </c>
      <c r="E11" s="177" t="s">
        <v>162</v>
      </c>
      <c r="F11" s="78" t="s">
        <v>158</v>
      </c>
      <c r="G11" s="328">
        <v>1</v>
      </c>
      <c r="H11" s="329" t="s">
        <v>0</v>
      </c>
      <c r="I11" s="337">
        <v>1</v>
      </c>
      <c r="J11" s="81" t="s">
        <v>123</v>
      </c>
      <c r="K11" s="52"/>
      <c r="L11" s="495" t="str">
        <f>IF(OR(Copa2022!F19="",G11=""),"",
IF(AND(Copa2022!F19=Eduardo!G11,Copa2022!H19=Eduardo!I11),Regras!$J$25,IF(Y11=Regras!F33,Regras!$J$26,0)))</f>
        <v/>
      </c>
      <c r="M11" s="495"/>
      <c r="N11" s="318"/>
      <c r="O11" s="349">
        <v>2</v>
      </c>
      <c r="P11" s="350" t="s">
        <v>158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 x14ac:dyDescent="0.2">
      <c r="A12" s="60" t="s">
        <v>293</v>
      </c>
      <c r="B12" s="485"/>
      <c r="C12" s="171">
        <v>44890</v>
      </c>
      <c r="D12" s="194" t="s">
        <v>136</v>
      </c>
      <c r="E12" s="177" t="s">
        <v>161</v>
      </c>
      <c r="F12" s="78" t="s">
        <v>6</v>
      </c>
      <c r="G12" s="328">
        <v>2</v>
      </c>
      <c r="H12" s="329" t="s">
        <v>0</v>
      </c>
      <c r="I12" s="337">
        <v>0</v>
      </c>
      <c r="J12" s="81" t="s">
        <v>145</v>
      </c>
      <c r="K12" s="52"/>
      <c r="L12" s="495" t="str">
        <f>IF(OR(Copa2022!F20="",G12=""),"",
IF(AND(Copa2022!F20=Eduardo!G12,Copa2022!H20=Eduardo!I12),Regras!$J$25,IF(Y12=Regras!F34,Regras!$J$26,0)))</f>
        <v/>
      </c>
      <c r="M12" s="495"/>
      <c r="N12" s="318"/>
      <c r="O12" s="346">
        <v>3</v>
      </c>
      <c r="P12" s="345" t="s">
        <v>145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 x14ac:dyDescent="0.25">
      <c r="A13" s="60" t="s">
        <v>294</v>
      </c>
      <c r="B13" s="485"/>
      <c r="C13" s="171">
        <v>44894</v>
      </c>
      <c r="D13" s="194" t="s">
        <v>136</v>
      </c>
      <c r="E13" s="177" t="s">
        <v>162</v>
      </c>
      <c r="F13" s="78" t="s">
        <v>158</v>
      </c>
      <c r="G13" s="328">
        <v>0</v>
      </c>
      <c r="H13" s="329" t="s">
        <v>0</v>
      </c>
      <c r="I13" s="337">
        <v>0</v>
      </c>
      <c r="J13" s="81" t="s">
        <v>6</v>
      </c>
      <c r="K13" s="52"/>
      <c r="L13" s="495" t="str">
        <f>IF(OR(Copa2022!F21="",G13=""),"",
IF(AND(Copa2022!F21=Eduardo!G13,Copa2022!H21=Eduardo!I13),Regras!$J$25,IF(Y13=Regras!F35,Regras!$J$26,0)))</f>
        <v/>
      </c>
      <c r="M13" s="495"/>
      <c r="N13" s="318"/>
      <c r="O13" s="347">
        <v>4</v>
      </c>
      <c r="P13" s="348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 x14ac:dyDescent="0.25">
      <c r="A14" s="60" t="s">
        <v>295</v>
      </c>
      <c r="B14" s="486"/>
      <c r="C14" s="173">
        <v>44894</v>
      </c>
      <c r="D14" s="195" t="s">
        <v>136</v>
      </c>
      <c r="E14" s="178" t="s">
        <v>157</v>
      </c>
      <c r="F14" s="90" t="s">
        <v>123</v>
      </c>
      <c r="G14" s="334">
        <v>0</v>
      </c>
      <c r="H14" s="335" t="s">
        <v>0</v>
      </c>
      <c r="I14" s="340">
        <v>1</v>
      </c>
      <c r="J14" s="93" t="s">
        <v>145</v>
      </c>
      <c r="K14" s="52"/>
      <c r="L14" s="495" t="str">
        <f>IF(OR(Copa2022!F22="",G14=""),"",
IF(AND(Copa2022!F22=Eduardo!G14,Copa2022!H22=Eduardo!I14),Regras!$J$25,IF(Y14=Regras!F36,Regras!$J$26,0)))</f>
        <v/>
      </c>
      <c r="M14" s="495"/>
      <c r="N14" s="318"/>
      <c r="O14" s="344"/>
      <c r="P14" s="345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 x14ac:dyDescent="0.25">
      <c r="A15" s="60" t="s">
        <v>296</v>
      </c>
      <c r="B15" s="48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26">
        <v>2</v>
      </c>
      <c r="H15" s="327" t="s">
        <v>0</v>
      </c>
      <c r="I15" s="336">
        <v>0</v>
      </c>
      <c r="J15" s="77" t="s">
        <v>125</v>
      </c>
      <c r="K15" s="52"/>
      <c r="L15" s="495">
        <f>IF(OR(Copa2022!F23="",G15=""),"",
IF(AND(Copa2022!F23=Eduardo!G15,Copa2022!H23=Eduardo!I15),Regras!$J$25,IF(Y15=Regras!F37,Regras!$J$26,0)))</f>
        <v>0</v>
      </c>
      <c r="M15" s="495"/>
      <c r="N15" s="318"/>
      <c r="O15" s="502" t="s">
        <v>50</v>
      </c>
      <c r="P15" s="503"/>
      <c r="Q15" s="324" t="str">
        <f>IF(Copa2022!F28="","",IF(Copa2022!O24=Eduardo!P16,Regras!$J$27,0))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 x14ac:dyDescent="0.2">
      <c r="A16" s="60" t="s">
        <v>297</v>
      </c>
      <c r="B16" s="485"/>
      <c r="C16" s="171">
        <v>44887</v>
      </c>
      <c r="D16" s="194" t="s">
        <v>134</v>
      </c>
      <c r="E16" s="172" t="s">
        <v>163</v>
      </c>
      <c r="F16" s="78" t="s">
        <v>1</v>
      </c>
      <c r="G16" s="328">
        <v>1</v>
      </c>
      <c r="H16" s="329" t="s">
        <v>0</v>
      </c>
      <c r="I16" s="337">
        <v>0</v>
      </c>
      <c r="J16" s="81" t="s">
        <v>130</v>
      </c>
      <c r="K16" s="52"/>
      <c r="L16" s="495">
        <f>IF(OR(Copa2022!F24="",G16=""),"",
IF(AND(Copa2022!F24=Eduardo!G16,Copa2022!H24=Eduardo!I16),Regras!$J$25,IF(Y16=Regras!F38,Regras!$J$26,0)))</f>
        <v>0</v>
      </c>
      <c r="M16" s="495"/>
      <c r="N16" s="318"/>
      <c r="O16" s="346">
        <v>1</v>
      </c>
      <c r="P16" s="345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México</v>
      </c>
    </row>
    <row r="17" spans="1:25" s="60" customFormat="1" ht="35.1" customHeight="1" thickBot="1" x14ac:dyDescent="0.25">
      <c r="A17" s="60" t="s">
        <v>298</v>
      </c>
      <c r="B17" s="485"/>
      <c r="C17" s="171">
        <v>44891</v>
      </c>
      <c r="D17" s="194" t="s">
        <v>135</v>
      </c>
      <c r="E17" s="172" t="s">
        <v>148</v>
      </c>
      <c r="F17" s="78" t="s">
        <v>130</v>
      </c>
      <c r="G17" s="328">
        <v>1</v>
      </c>
      <c r="H17" s="329" t="s">
        <v>0</v>
      </c>
      <c r="I17" s="337">
        <v>0</v>
      </c>
      <c r="J17" s="81" t="s">
        <v>125</v>
      </c>
      <c r="K17" s="52"/>
      <c r="L17" s="495" t="str">
        <f>IF(OR(Copa2022!F25="",G17=""),"",
IF(AND(Copa2022!F25=Eduardo!G17,Copa2022!H25=Eduardo!I17),Regras!$J$25,IF(Y17=Regras!F39,Regras!$J$26,0)))</f>
        <v/>
      </c>
      <c r="M17" s="495"/>
      <c r="N17" s="318"/>
      <c r="O17" s="349">
        <v>2</v>
      </c>
      <c r="P17" s="350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 x14ac:dyDescent="0.2">
      <c r="A18" s="60" t="s">
        <v>299</v>
      </c>
      <c r="B18" s="485"/>
      <c r="C18" s="171">
        <v>44891</v>
      </c>
      <c r="D18" s="194" t="s">
        <v>136</v>
      </c>
      <c r="E18" s="172" t="s">
        <v>146</v>
      </c>
      <c r="F18" s="78" t="s">
        <v>4</v>
      </c>
      <c r="G18" s="328">
        <v>2</v>
      </c>
      <c r="H18" s="329" t="s">
        <v>0</v>
      </c>
      <c r="I18" s="337">
        <v>0</v>
      </c>
      <c r="J18" s="81" t="s">
        <v>1</v>
      </c>
      <c r="K18" s="52"/>
      <c r="L18" s="495" t="str">
        <f>IF(OR(Copa2022!F26="",G18=""),"",
IF(AND(Copa2022!F26=Eduardo!G18,Copa2022!H26=Eduardo!I18),Regras!$J$25,IF(Y18=Regras!F40,Regras!$J$26,0)))</f>
        <v/>
      </c>
      <c r="M18" s="495"/>
      <c r="N18" s="318"/>
      <c r="O18" s="346">
        <v>3</v>
      </c>
      <c r="P18" s="345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 x14ac:dyDescent="0.25">
      <c r="A19" s="60" t="s">
        <v>300</v>
      </c>
      <c r="B19" s="485"/>
      <c r="C19" s="171">
        <v>44895</v>
      </c>
      <c r="D19" s="194" t="s">
        <v>136</v>
      </c>
      <c r="E19" s="172" t="s">
        <v>163</v>
      </c>
      <c r="F19" s="78" t="s">
        <v>130</v>
      </c>
      <c r="G19" s="328">
        <v>0</v>
      </c>
      <c r="H19" s="329" t="s">
        <v>0</v>
      </c>
      <c r="I19" s="337">
        <v>1</v>
      </c>
      <c r="J19" s="81" t="s">
        <v>4</v>
      </c>
      <c r="K19" s="52"/>
      <c r="L19" s="495" t="str">
        <f>IF(OR(Copa2022!F27="",G19=""),"",
IF(AND(Copa2022!F27=Eduardo!G19,Copa2022!H27=Eduardo!I19),Regras!$J$25,IF(Y19=Regras!F41,Regras!$J$26,0)))</f>
        <v/>
      </c>
      <c r="M19" s="495"/>
      <c r="N19" s="318"/>
      <c r="O19" s="347">
        <v>4</v>
      </c>
      <c r="P19" s="348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 x14ac:dyDescent="0.25">
      <c r="A20" s="60" t="s">
        <v>301</v>
      </c>
      <c r="B20" s="486"/>
      <c r="C20" s="173">
        <v>44895</v>
      </c>
      <c r="D20" s="195" t="s">
        <v>136</v>
      </c>
      <c r="E20" s="174" t="s">
        <v>146</v>
      </c>
      <c r="F20" s="86" t="s">
        <v>125</v>
      </c>
      <c r="G20" s="332">
        <v>0</v>
      </c>
      <c r="H20" s="333" t="s">
        <v>0</v>
      </c>
      <c r="I20" s="338">
        <v>2</v>
      </c>
      <c r="J20" s="89" t="s">
        <v>1</v>
      </c>
      <c r="K20" s="52"/>
      <c r="L20" s="495" t="str">
        <f>IF(OR(Copa2022!F28="",G20=""),"",
IF(AND(Copa2022!F28=Eduardo!G20,Copa2022!H28=Eduardo!I20),Regras!$J$25,IF(Y20=Regras!F42,Regras!$J$26,0)))</f>
        <v/>
      </c>
      <c r="M20" s="495"/>
      <c r="N20" s="318"/>
      <c r="O20" s="344"/>
      <c r="P20" s="345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 x14ac:dyDescent="0.25">
      <c r="A21" s="60" t="s">
        <v>302</v>
      </c>
      <c r="B21" s="48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30">
        <v>2</v>
      </c>
      <c r="H21" s="331" t="s">
        <v>0</v>
      </c>
      <c r="I21" s="339">
        <v>0</v>
      </c>
      <c r="J21" s="85" t="s">
        <v>129</v>
      </c>
      <c r="K21" s="52"/>
      <c r="L21" s="495">
        <f>IF(OR(Copa2022!F29="",G21=""),"",
IF(AND(Copa2022!F29=Eduardo!G21,Copa2022!H29=Eduardo!I21),Regras!$J$25,IF(Y21=Regras!F43,Regras!$J$26,0)))</f>
        <v>0</v>
      </c>
      <c r="M21" s="495"/>
      <c r="N21" s="318"/>
      <c r="O21" s="502" t="s">
        <v>51</v>
      </c>
      <c r="P21" s="503"/>
      <c r="Q21" s="324" t="str">
        <f>IF(Copa2022!F34="","",IF(Copa2022!O30=Eduardo!P22,Regras!$J$27,0))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 x14ac:dyDescent="0.2">
      <c r="A22" s="60" t="s">
        <v>303</v>
      </c>
      <c r="B22" s="485"/>
      <c r="C22" s="171">
        <v>44887</v>
      </c>
      <c r="D22" s="194" t="s">
        <v>136</v>
      </c>
      <c r="E22" s="177" t="s">
        <v>164</v>
      </c>
      <c r="F22" s="78" t="s">
        <v>3</v>
      </c>
      <c r="G22" s="328">
        <v>2</v>
      </c>
      <c r="H22" s="329" t="s">
        <v>0</v>
      </c>
      <c r="I22" s="337">
        <v>0</v>
      </c>
      <c r="J22" s="81" t="s">
        <v>159</v>
      </c>
      <c r="K22" s="52"/>
      <c r="L22" s="495">
        <f>IF(OR(Copa2022!F30="",G22=""),"",
IF(AND(Copa2022!F30=Eduardo!G22,Copa2022!H30=Eduardo!I22),Regras!$J$25,IF(Y22=Regras!F44,Regras!$J$26,0)))</f>
        <v>5</v>
      </c>
      <c r="M22" s="495"/>
      <c r="N22" s="318"/>
      <c r="O22" s="346">
        <v>1</v>
      </c>
      <c r="P22" s="345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 x14ac:dyDescent="0.25">
      <c r="A23" s="60" t="s">
        <v>304</v>
      </c>
      <c r="B23" s="485"/>
      <c r="C23" s="171">
        <v>44891</v>
      </c>
      <c r="D23" s="194" t="s">
        <v>133</v>
      </c>
      <c r="E23" s="177" t="s">
        <v>164</v>
      </c>
      <c r="F23" s="78" t="s">
        <v>129</v>
      </c>
      <c r="G23" s="328">
        <v>0</v>
      </c>
      <c r="H23" s="329" t="s">
        <v>0</v>
      </c>
      <c r="I23" s="337">
        <v>0</v>
      </c>
      <c r="J23" s="81" t="s">
        <v>159</v>
      </c>
      <c r="K23" s="52"/>
      <c r="L23" s="495" t="str">
        <f>IF(OR(Copa2022!F31="",G23=""),"",
IF(AND(Copa2022!F31=Eduardo!G23,Copa2022!H31=Eduardo!I23),Regras!$J$25,IF(Y23=Regras!F45,Regras!$J$26,0)))</f>
        <v/>
      </c>
      <c r="M23" s="495"/>
      <c r="N23" s="318"/>
      <c r="O23" s="349">
        <v>2</v>
      </c>
      <c r="P23" s="350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 x14ac:dyDescent="0.2">
      <c r="A24" s="60" t="s">
        <v>305</v>
      </c>
      <c r="B24" s="485"/>
      <c r="C24" s="171">
        <v>44891</v>
      </c>
      <c r="D24" s="194" t="s">
        <v>134</v>
      </c>
      <c r="E24" s="177" t="s">
        <v>163</v>
      </c>
      <c r="F24" s="78" t="s">
        <v>3</v>
      </c>
      <c r="G24" s="328">
        <v>1</v>
      </c>
      <c r="H24" s="329" t="s">
        <v>0</v>
      </c>
      <c r="I24" s="337">
        <v>1</v>
      </c>
      <c r="J24" s="81" t="s">
        <v>127</v>
      </c>
      <c r="K24" s="52"/>
      <c r="L24" s="495" t="str">
        <f>IF(OR(Copa2022!F32="",G24=""),"",
IF(AND(Copa2022!F32=Eduardo!G24,Copa2022!H32=Eduardo!I24),Regras!$J$25,IF(Y24=Regras!F46,Regras!$J$26,0)))</f>
        <v/>
      </c>
      <c r="M24" s="495"/>
      <c r="N24" s="318"/>
      <c r="O24" s="346">
        <v>3</v>
      </c>
      <c r="P24" s="345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 x14ac:dyDescent="0.25">
      <c r="A25" s="60" t="s">
        <v>306</v>
      </c>
      <c r="B25" s="485"/>
      <c r="C25" s="171">
        <v>44895</v>
      </c>
      <c r="D25" s="194" t="s">
        <v>132</v>
      </c>
      <c r="E25" s="177" t="s">
        <v>148</v>
      </c>
      <c r="F25" s="78" t="s">
        <v>129</v>
      </c>
      <c r="G25" s="328">
        <v>0</v>
      </c>
      <c r="H25" s="329" t="s">
        <v>0</v>
      </c>
      <c r="I25" s="337">
        <v>3</v>
      </c>
      <c r="J25" s="81" t="s">
        <v>3</v>
      </c>
      <c r="K25" s="52"/>
      <c r="L25" s="495" t="str">
        <f>IF(OR(Copa2022!F33="",G25=""),"",
IF(AND(Copa2022!F33=Eduardo!G25,Copa2022!H33=Eduardo!I25),Regras!$J$25,IF(Y25=Regras!F47,Regras!$J$26,0)))</f>
        <v/>
      </c>
      <c r="M25" s="495"/>
      <c r="N25" s="318"/>
      <c r="O25" s="347">
        <v>4</v>
      </c>
      <c r="P25" s="348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 x14ac:dyDescent="0.25">
      <c r="A26" s="60" t="s">
        <v>307</v>
      </c>
      <c r="B26" s="486"/>
      <c r="C26" s="173">
        <v>44895</v>
      </c>
      <c r="D26" s="195" t="s">
        <v>132</v>
      </c>
      <c r="E26" s="178" t="s">
        <v>164</v>
      </c>
      <c r="F26" s="90" t="s">
        <v>159</v>
      </c>
      <c r="G26" s="334">
        <v>0</v>
      </c>
      <c r="H26" s="335" t="s">
        <v>0</v>
      </c>
      <c r="I26" s="340">
        <v>2</v>
      </c>
      <c r="J26" s="93" t="s">
        <v>127</v>
      </c>
      <c r="K26" s="52"/>
      <c r="L26" s="495" t="str">
        <f>IF(OR(Copa2022!F34="",G26=""),"",
IF(AND(Copa2022!F34=Eduardo!G26,Copa2022!H34=Eduardo!I26),Regras!$J$25,IF(Y26=Regras!F48,Regras!$J$26,0)))</f>
        <v/>
      </c>
      <c r="M26" s="495"/>
      <c r="N26" s="318"/>
      <c r="O26" s="344"/>
      <c r="P26" s="345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 x14ac:dyDescent="0.25">
      <c r="A27" s="60" t="s">
        <v>308</v>
      </c>
      <c r="B27" s="48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26">
        <v>2</v>
      </c>
      <c r="H27" s="327" t="s">
        <v>0</v>
      </c>
      <c r="I27" s="336">
        <v>0</v>
      </c>
      <c r="J27" s="77" t="s">
        <v>8</v>
      </c>
      <c r="K27" s="52"/>
      <c r="L27" s="495" t="str">
        <f>IF(OR(Copa2022!F35="",G27=""),"",
IF(AND(Copa2022!F35=Eduardo!G27,Copa2022!H35=Eduardo!I27),Regras!$J$25,IF(Y27=Regras!F49,Regras!$J$26,0)))</f>
        <v/>
      </c>
      <c r="M27" s="495"/>
      <c r="N27" s="318"/>
      <c r="O27" s="502" t="s">
        <v>53</v>
      </c>
      <c r="P27" s="503"/>
      <c r="Q27" s="324" t="str">
        <f>IF(Copa2022!F40="","",IF(Copa2022!O36=Eduardo!P28,Regras!$J$27,0))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 x14ac:dyDescent="0.2">
      <c r="A28" s="60" t="s">
        <v>309</v>
      </c>
      <c r="B28" s="485"/>
      <c r="C28" s="171">
        <v>44888</v>
      </c>
      <c r="D28" s="194" t="s">
        <v>134</v>
      </c>
      <c r="E28" s="172" t="s">
        <v>157</v>
      </c>
      <c r="F28" s="78" t="s">
        <v>11</v>
      </c>
      <c r="G28" s="328">
        <v>1</v>
      </c>
      <c r="H28" s="329" t="s">
        <v>0</v>
      </c>
      <c r="I28" s="337">
        <v>0</v>
      </c>
      <c r="J28" s="81" t="s">
        <v>160</v>
      </c>
      <c r="K28" s="52"/>
      <c r="L28" s="495" t="str">
        <f>IF(OR(Copa2022!F36="",G28=""),"",
IF(AND(Copa2022!F36=Eduardo!G28,Copa2022!H36=Eduardo!I28),Regras!$J$25,IF(Y28=Regras!F50,Regras!$J$26,0)))</f>
        <v/>
      </c>
      <c r="M28" s="495"/>
      <c r="N28" s="318"/>
      <c r="O28" s="346">
        <v>1</v>
      </c>
      <c r="P28" s="345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 x14ac:dyDescent="0.25">
      <c r="A29" s="60" t="s">
        <v>310</v>
      </c>
      <c r="B29" s="485"/>
      <c r="C29" s="171">
        <v>44892</v>
      </c>
      <c r="D29" s="194" t="s">
        <v>133</v>
      </c>
      <c r="E29" s="172" t="s">
        <v>162</v>
      </c>
      <c r="F29" s="78" t="s">
        <v>8</v>
      </c>
      <c r="G29" s="328">
        <v>0</v>
      </c>
      <c r="H29" s="329" t="s">
        <v>0</v>
      </c>
      <c r="I29" s="337">
        <v>0</v>
      </c>
      <c r="J29" s="81" t="s">
        <v>160</v>
      </c>
      <c r="K29" s="52"/>
      <c r="L29" s="495" t="str">
        <f>IF(OR(Copa2022!F37="",G29=""),"",
IF(AND(Copa2022!F37=Eduardo!G29,Copa2022!H37=Eduardo!I29),Regras!$J$25,IF(Y29=Regras!F51,Regras!$J$26,0)))</f>
        <v/>
      </c>
      <c r="M29" s="495"/>
      <c r="N29" s="318"/>
      <c r="O29" s="349">
        <v>2</v>
      </c>
      <c r="P29" s="350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 x14ac:dyDescent="0.2">
      <c r="A30" s="60" t="s">
        <v>311</v>
      </c>
      <c r="B30" s="485"/>
      <c r="C30" s="171">
        <v>44892</v>
      </c>
      <c r="D30" s="194" t="s">
        <v>136</v>
      </c>
      <c r="E30" s="172" t="s">
        <v>161</v>
      </c>
      <c r="F30" s="78" t="s">
        <v>11</v>
      </c>
      <c r="G30" s="328">
        <v>0</v>
      </c>
      <c r="H30" s="329" t="s">
        <v>0</v>
      </c>
      <c r="I30" s="337">
        <v>1</v>
      </c>
      <c r="J30" s="81" t="s">
        <v>7</v>
      </c>
      <c r="K30" s="52"/>
      <c r="L30" s="495" t="str">
        <f>IF(OR(Copa2022!F38="",G30=""),"",
IF(AND(Copa2022!F38=Eduardo!G30,Copa2022!H38=Eduardo!I30),Regras!$J$25,IF(Y30=Regras!F52,Regras!$J$26,0)))</f>
        <v/>
      </c>
      <c r="M30" s="495"/>
      <c r="N30" s="318"/>
      <c r="O30" s="346">
        <v>3</v>
      </c>
      <c r="P30" s="345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 x14ac:dyDescent="0.25">
      <c r="A31" s="60" t="s">
        <v>312</v>
      </c>
      <c r="B31" s="485"/>
      <c r="C31" s="171">
        <v>44896</v>
      </c>
      <c r="D31" s="194" t="s">
        <v>136</v>
      </c>
      <c r="E31" s="172" t="s">
        <v>143</v>
      </c>
      <c r="F31" s="78" t="s">
        <v>8</v>
      </c>
      <c r="G31" s="328">
        <v>0</v>
      </c>
      <c r="H31" s="329" t="s">
        <v>0</v>
      </c>
      <c r="I31" s="337">
        <v>1</v>
      </c>
      <c r="J31" s="81" t="s">
        <v>11</v>
      </c>
      <c r="K31" s="52"/>
      <c r="L31" s="495" t="str">
        <f>IF(OR(Copa2022!F39="",G31=""),"",
IF(AND(Copa2022!F39=Eduardo!G31,Copa2022!H39=Eduardo!I31),Regras!$J$25,IF(Y31=Regras!F53,Regras!$J$26,0)))</f>
        <v/>
      </c>
      <c r="M31" s="495"/>
      <c r="N31" s="318"/>
      <c r="O31" s="347" t="s">
        <v>105</v>
      </c>
      <c r="P31" s="348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 x14ac:dyDescent="0.25">
      <c r="A32" s="60" t="s">
        <v>313</v>
      </c>
      <c r="B32" s="486"/>
      <c r="C32" s="173">
        <v>44896</v>
      </c>
      <c r="D32" s="195" t="s">
        <v>136</v>
      </c>
      <c r="E32" s="174" t="s">
        <v>161</v>
      </c>
      <c r="F32" s="86" t="s">
        <v>160</v>
      </c>
      <c r="G32" s="332">
        <v>0</v>
      </c>
      <c r="H32" s="333" t="s">
        <v>0</v>
      </c>
      <c r="I32" s="338">
        <v>2</v>
      </c>
      <c r="J32" s="89" t="s">
        <v>7</v>
      </c>
      <c r="K32" s="52"/>
      <c r="L32" s="495" t="str">
        <f>IF(OR(Copa2022!F40="",G32=""),"",
IF(AND(Copa2022!F40=Eduardo!G32,Copa2022!H40=Eduardo!I32),Regras!$J$25,IF(Y32=Regras!F54,Regras!$J$26,0)))</f>
        <v/>
      </c>
      <c r="M32" s="495"/>
      <c r="N32" s="318"/>
      <c r="O32" s="344"/>
      <c r="P32" s="345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 x14ac:dyDescent="0.25">
      <c r="A33" s="60" t="s">
        <v>314</v>
      </c>
      <c r="B33" s="48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30">
        <v>0</v>
      </c>
      <c r="H33" s="331" t="s">
        <v>0</v>
      </c>
      <c r="I33" s="339">
        <v>2</v>
      </c>
      <c r="J33" s="85" t="s">
        <v>70</v>
      </c>
      <c r="K33" s="52"/>
      <c r="L33" s="495" t="str">
        <f>IF(OR(Copa2022!F41="",G33=""),"",
IF(AND(Copa2022!F41=Eduardo!G33,Copa2022!H41=Eduardo!I33),Regras!$J$25,IF(Y33=Regras!F55,Regras!$J$26,0)))</f>
        <v/>
      </c>
      <c r="M33" s="495"/>
      <c r="N33" s="318"/>
      <c r="O33" s="502" t="s">
        <v>56</v>
      </c>
      <c r="P33" s="503"/>
      <c r="Q33" s="324" t="str">
        <f>IF(Copa2022!F46="","",IF(Copa2022!O42=Eduardo!P34,Regras!$J$27,0))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/>
      </c>
    </row>
    <row r="34" spans="1:25" s="60" customFormat="1" ht="35.1" customHeight="1" x14ac:dyDescent="0.2">
      <c r="A34" s="60" t="s">
        <v>315</v>
      </c>
      <c r="B34" s="485"/>
      <c r="C34" s="171">
        <v>44888</v>
      </c>
      <c r="D34" s="194" t="s">
        <v>136</v>
      </c>
      <c r="E34" s="177" t="s">
        <v>162</v>
      </c>
      <c r="F34" s="78" t="s">
        <v>104</v>
      </c>
      <c r="G34" s="328">
        <v>2</v>
      </c>
      <c r="H34" s="329" t="s">
        <v>0</v>
      </c>
      <c r="I34" s="337">
        <v>0</v>
      </c>
      <c r="J34" s="81" t="s">
        <v>150</v>
      </c>
      <c r="K34" s="52"/>
      <c r="L34" s="495" t="str">
        <f>IF(OR(Copa2022!F42="",G34=""),"",
IF(AND(Copa2022!F42=Eduardo!G34,Copa2022!H42=Eduardo!I34),Regras!$J$25,IF(Y34=Regras!F56,Regras!$J$26,0)))</f>
        <v/>
      </c>
      <c r="M34" s="495"/>
      <c r="N34" s="318"/>
      <c r="O34" s="346">
        <v>1</v>
      </c>
      <c r="P34" s="345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 x14ac:dyDescent="0.25">
      <c r="A35" s="60" t="s">
        <v>316</v>
      </c>
      <c r="B35" s="485"/>
      <c r="C35" s="171">
        <v>44892</v>
      </c>
      <c r="D35" s="194" t="s">
        <v>135</v>
      </c>
      <c r="E35" s="177" t="s">
        <v>157</v>
      </c>
      <c r="F35" s="78" t="s">
        <v>104</v>
      </c>
      <c r="G35" s="328">
        <v>2</v>
      </c>
      <c r="H35" s="329" t="s">
        <v>0</v>
      </c>
      <c r="I35" s="337">
        <v>0</v>
      </c>
      <c r="J35" s="81" t="s">
        <v>126</v>
      </c>
      <c r="K35" s="52"/>
      <c r="L35" s="495" t="str">
        <f>IF(OR(Copa2022!F43="",G35=""),"",
IF(AND(Copa2022!F43=Eduardo!G35,Copa2022!H43=Eduardo!I35),Regras!$J$25,IF(Y35=Regras!F57,Regras!$J$26,0)))</f>
        <v/>
      </c>
      <c r="M35" s="495"/>
      <c r="N35" s="318"/>
      <c r="O35" s="349">
        <v>2</v>
      </c>
      <c r="P35" s="350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 x14ac:dyDescent="0.2">
      <c r="A36" s="60" t="s">
        <v>317</v>
      </c>
      <c r="B36" s="485"/>
      <c r="C36" s="171">
        <v>44892</v>
      </c>
      <c r="D36" s="194" t="s">
        <v>134</v>
      </c>
      <c r="E36" s="177" t="s">
        <v>143</v>
      </c>
      <c r="F36" s="78" t="s">
        <v>70</v>
      </c>
      <c r="G36" s="328">
        <v>1</v>
      </c>
      <c r="H36" s="329" t="s">
        <v>0</v>
      </c>
      <c r="I36" s="337">
        <v>0</v>
      </c>
      <c r="J36" s="81" t="s">
        <v>150</v>
      </c>
      <c r="K36" s="52"/>
      <c r="L36" s="495" t="str">
        <f>IF(OR(Copa2022!F44="",G36=""),"",
IF(AND(Copa2022!F44=Eduardo!G36,Copa2022!H44=Eduardo!I36),Regras!$J$25,IF(Y36=Regras!F58,Regras!$J$26,0)))</f>
        <v/>
      </c>
      <c r="M36" s="495"/>
      <c r="N36" s="318"/>
      <c r="O36" s="346">
        <v>3</v>
      </c>
      <c r="P36" s="345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 x14ac:dyDescent="0.25">
      <c r="A37" s="60" t="s">
        <v>318</v>
      </c>
      <c r="B37" s="485"/>
      <c r="C37" s="171">
        <v>44896</v>
      </c>
      <c r="D37" s="194" t="s">
        <v>132</v>
      </c>
      <c r="E37" s="177" t="s">
        <v>162</v>
      </c>
      <c r="F37" s="78" t="s">
        <v>70</v>
      </c>
      <c r="G37" s="328">
        <v>0</v>
      </c>
      <c r="H37" s="329" t="s">
        <v>0</v>
      </c>
      <c r="I37" s="337">
        <v>1</v>
      </c>
      <c r="J37" s="81" t="s">
        <v>104</v>
      </c>
      <c r="K37" s="52"/>
      <c r="L37" s="495" t="str">
        <f>IF(OR(Copa2022!F45="",G37=""),"",
IF(AND(Copa2022!F45=Eduardo!G37,Copa2022!H45=Eduardo!I37),Regras!$J$25,IF(Y37=Regras!F59,Regras!$J$26,0)))</f>
        <v/>
      </c>
      <c r="M37" s="495"/>
      <c r="N37" s="318"/>
      <c r="O37" s="347">
        <v>4</v>
      </c>
      <c r="P37" s="348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 x14ac:dyDescent="0.25">
      <c r="A38" s="60" t="s">
        <v>319</v>
      </c>
      <c r="B38" s="486"/>
      <c r="C38" s="173">
        <v>44896</v>
      </c>
      <c r="D38" s="195" t="s">
        <v>132</v>
      </c>
      <c r="E38" s="178" t="s">
        <v>157</v>
      </c>
      <c r="F38" s="90" t="s">
        <v>150</v>
      </c>
      <c r="G38" s="334">
        <v>1</v>
      </c>
      <c r="H38" s="335" t="s">
        <v>0</v>
      </c>
      <c r="I38" s="340">
        <v>0</v>
      </c>
      <c r="J38" s="93" t="s">
        <v>126</v>
      </c>
      <c r="K38" s="52"/>
      <c r="L38" s="495" t="str">
        <f>IF(OR(Copa2022!F46="",G38=""),"",
IF(AND(Copa2022!F46=Eduardo!G38,Copa2022!H46=Eduardo!I38),Regras!$J$25,IF(Y38=Regras!F60,Regras!$J$26,0)))</f>
        <v/>
      </c>
      <c r="M38" s="495"/>
      <c r="N38" s="318"/>
      <c r="O38" s="344"/>
      <c r="P38" s="345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 x14ac:dyDescent="0.25">
      <c r="A39" s="60" t="s">
        <v>320</v>
      </c>
      <c r="B39" s="48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26">
        <v>2</v>
      </c>
      <c r="H39" s="327" t="s">
        <v>0</v>
      </c>
      <c r="I39" s="336">
        <v>0</v>
      </c>
      <c r="J39" s="77" t="s">
        <v>151</v>
      </c>
      <c r="K39" s="52"/>
      <c r="L39" s="495" t="str">
        <f>IF(OR(Copa2022!F47="",G39=""),"",
IF(AND(Copa2022!F47=Eduardo!G39,Copa2022!H47=Eduardo!I39),Regras!$J$25,IF(Y39=Regras!F61,Regras!$J$26,0)))</f>
        <v/>
      </c>
      <c r="M39" s="495"/>
      <c r="N39" s="318"/>
      <c r="O39" s="502" t="s">
        <v>58</v>
      </c>
      <c r="P39" s="503"/>
      <c r="Q39" s="324" t="str">
        <f>IF(Copa2022!F52="","",IF(Copa2022!O48=Eduardo!P40,Regras!$J$27,0))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 x14ac:dyDescent="0.2">
      <c r="A40" s="60" t="s">
        <v>321</v>
      </c>
      <c r="B40" s="485"/>
      <c r="C40" s="171">
        <v>44889</v>
      </c>
      <c r="D40" s="194" t="s">
        <v>136</v>
      </c>
      <c r="E40" s="172" t="s">
        <v>146</v>
      </c>
      <c r="F40" s="78" t="s">
        <v>10</v>
      </c>
      <c r="G40" s="328">
        <v>2</v>
      </c>
      <c r="H40" s="329" t="s">
        <v>0</v>
      </c>
      <c r="I40" s="337">
        <v>0</v>
      </c>
      <c r="J40" s="81" t="s">
        <v>128</v>
      </c>
      <c r="K40" s="52"/>
      <c r="L40" s="495" t="str">
        <f>IF(OR(Copa2022!F48="",G40=""),"",
IF(AND(Copa2022!F48=Eduardo!G40,Copa2022!H48=Eduardo!I40),Regras!$J$25,IF(Y40=Regras!F62,Regras!$J$26,0)))</f>
        <v/>
      </c>
      <c r="M40" s="495"/>
      <c r="N40" s="318"/>
      <c r="O40" s="351">
        <v>1</v>
      </c>
      <c r="P40" s="352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 x14ac:dyDescent="0.25">
      <c r="A41" s="60" t="s">
        <v>322</v>
      </c>
      <c r="B41" s="485"/>
      <c r="C41" s="171">
        <v>44893</v>
      </c>
      <c r="D41" s="194" t="s">
        <v>133</v>
      </c>
      <c r="E41" s="172" t="s">
        <v>164</v>
      </c>
      <c r="F41" s="78" t="s">
        <v>151</v>
      </c>
      <c r="G41" s="328">
        <v>0</v>
      </c>
      <c r="H41" s="329" t="s">
        <v>0</v>
      </c>
      <c r="I41" s="337">
        <v>1</v>
      </c>
      <c r="J41" s="81" t="s">
        <v>128</v>
      </c>
      <c r="K41" s="52"/>
      <c r="L41" s="495" t="str">
        <f>IF(OR(Copa2022!F49="",G41=""),"",
IF(AND(Copa2022!F49=Eduardo!G41,Copa2022!H49=Eduardo!I41),Regras!$J$25,IF(Y41=Regras!F63,Regras!$J$26,0)))</f>
        <v/>
      </c>
      <c r="M41" s="495"/>
      <c r="N41" s="318"/>
      <c r="O41" s="349">
        <v>2</v>
      </c>
      <c r="P41" s="350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 x14ac:dyDescent="0.2">
      <c r="A42" s="60" t="s">
        <v>323</v>
      </c>
      <c r="B42" s="485"/>
      <c r="C42" s="171">
        <v>44893</v>
      </c>
      <c r="D42" s="194" t="s">
        <v>134</v>
      </c>
      <c r="E42" s="172" t="s">
        <v>163</v>
      </c>
      <c r="F42" s="78" t="s">
        <v>10</v>
      </c>
      <c r="G42" s="328">
        <v>2</v>
      </c>
      <c r="H42" s="329" t="s">
        <v>0</v>
      </c>
      <c r="I42" s="337">
        <v>0</v>
      </c>
      <c r="J42" s="81" t="s">
        <v>12</v>
      </c>
      <c r="K42" s="52"/>
      <c r="L42" s="495" t="str">
        <f>IF(OR(Copa2022!F50="",G42=""),"",
IF(AND(Copa2022!F50=Eduardo!G42,Copa2022!H50=Eduardo!I42),Regras!$J$25,IF(Y42=Regras!F64,Regras!$J$26,0)))</f>
        <v/>
      </c>
      <c r="M42" s="495"/>
      <c r="N42" s="318"/>
      <c r="O42" s="346">
        <v>3</v>
      </c>
      <c r="P42" s="345" t="s">
        <v>128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 x14ac:dyDescent="0.25">
      <c r="A43" s="60" t="s">
        <v>324</v>
      </c>
      <c r="B43" s="485"/>
      <c r="C43" s="171">
        <v>44897</v>
      </c>
      <c r="D43" s="194" t="s">
        <v>136</v>
      </c>
      <c r="E43" s="172" t="s">
        <v>146</v>
      </c>
      <c r="F43" s="78" t="s">
        <v>151</v>
      </c>
      <c r="G43" s="328">
        <v>0</v>
      </c>
      <c r="H43" s="329" t="s">
        <v>0</v>
      </c>
      <c r="I43" s="337">
        <v>3</v>
      </c>
      <c r="J43" s="81" t="s">
        <v>10</v>
      </c>
      <c r="K43" s="52"/>
      <c r="L43" s="495" t="str">
        <f>IF(OR(Copa2022!F51="",G43=""),"",
IF(AND(Copa2022!F51=Eduardo!G43,Copa2022!H51=Eduardo!I43),Regras!$J$25,IF(Y43=Regras!F65,Regras!$J$26,0)))</f>
        <v/>
      </c>
      <c r="M43" s="495"/>
      <c r="N43" s="318"/>
      <c r="O43" s="347">
        <v>4</v>
      </c>
      <c r="P43" s="348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 x14ac:dyDescent="0.25">
      <c r="A44" s="60" t="s">
        <v>325</v>
      </c>
      <c r="B44" s="486"/>
      <c r="C44" s="173">
        <v>44897</v>
      </c>
      <c r="D44" s="195" t="s">
        <v>136</v>
      </c>
      <c r="E44" s="174" t="s">
        <v>163</v>
      </c>
      <c r="F44" s="86" t="s">
        <v>128</v>
      </c>
      <c r="G44" s="332">
        <v>0</v>
      </c>
      <c r="H44" s="333" t="s">
        <v>0</v>
      </c>
      <c r="I44" s="338">
        <v>1</v>
      </c>
      <c r="J44" s="89" t="s">
        <v>12</v>
      </c>
      <c r="K44" s="52"/>
      <c r="L44" s="495" t="str">
        <f>IF(OR(Copa2022!F52="",G44=""),"",
IF(AND(Copa2022!F52=Eduardo!G44,Copa2022!H52=Eduardo!I44),Regras!$J$25,IF(Y44=Regras!F66,Regras!$J$26,0)))</f>
        <v/>
      </c>
      <c r="M44" s="495"/>
      <c r="N44" s="318"/>
      <c r="O44" s="344"/>
      <c r="P44" s="345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 x14ac:dyDescent="0.25">
      <c r="A45" s="60" t="s">
        <v>326</v>
      </c>
      <c r="B45" s="48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30">
        <v>1</v>
      </c>
      <c r="H45" s="331" t="s">
        <v>0</v>
      </c>
      <c r="I45" s="339">
        <v>0</v>
      </c>
      <c r="J45" s="85" t="s">
        <v>5</v>
      </c>
      <c r="K45" s="52"/>
      <c r="L45" s="495" t="str">
        <f>IF(OR(Copa2022!F53="",G45=""),"",
IF(AND(Copa2022!F53=Eduardo!G45,Copa2022!H53=Eduardo!I45),Regras!$J$25,IF(Y45=Regras!F67,Regras!$J$26,0)))</f>
        <v/>
      </c>
      <c r="M45" s="495"/>
      <c r="N45" s="318"/>
      <c r="O45" s="502" t="s">
        <v>59</v>
      </c>
      <c r="P45" s="503"/>
      <c r="Q45" s="324" t="str">
        <f>IF(Copa2022!F58="","",IF(Copa2022!O54=Eduardo!P46,Regras!$J$27,0))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 x14ac:dyDescent="0.2">
      <c r="A46" s="60" t="s">
        <v>327</v>
      </c>
      <c r="B46" s="485"/>
      <c r="C46" s="171">
        <v>44889</v>
      </c>
      <c r="D46" s="194" t="s">
        <v>134</v>
      </c>
      <c r="E46" s="177" t="s">
        <v>163</v>
      </c>
      <c r="F46" s="78" t="s">
        <v>9</v>
      </c>
      <c r="G46" s="328">
        <v>2</v>
      </c>
      <c r="H46" s="329" t="s">
        <v>0</v>
      </c>
      <c r="I46" s="337">
        <v>0</v>
      </c>
      <c r="J46" s="81" t="s">
        <v>152</v>
      </c>
      <c r="K46" s="52"/>
      <c r="L46" s="495" t="str">
        <f>IF(OR(Copa2022!F54="",G46=""),"",
IF(AND(Copa2022!F54=Eduardo!G46,Copa2022!H54=Eduardo!I46),Regras!$J$25,IF(Y46=Regras!F68,Regras!$J$26,0)))</f>
        <v/>
      </c>
      <c r="M46" s="495"/>
      <c r="N46" s="318"/>
      <c r="O46" s="346">
        <v>1</v>
      </c>
      <c r="P46" s="345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 x14ac:dyDescent="0.25">
      <c r="A47" s="60" t="s">
        <v>328</v>
      </c>
      <c r="B47" s="485"/>
      <c r="C47" s="171">
        <v>44893</v>
      </c>
      <c r="D47" s="194" t="s">
        <v>135</v>
      </c>
      <c r="E47" s="177" t="s">
        <v>148</v>
      </c>
      <c r="F47" s="78" t="s">
        <v>5</v>
      </c>
      <c r="G47" s="328">
        <v>0</v>
      </c>
      <c r="H47" s="329" t="s">
        <v>0</v>
      </c>
      <c r="I47" s="337">
        <v>0</v>
      </c>
      <c r="J47" s="81" t="s">
        <v>152</v>
      </c>
      <c r="K47" s="52"/>
      <c r="L47" s="495" t="str">
        <f>IF(OR(Copa2022!F55="",G47=""),"",
IF(AND(Copa2022!F55=Eduardo!G47,Copa2022!H55=Eduardo!I47),Regras!$J$25,IF(Y47=Regras!F69,Regras!$J$26,0)))</f>
        <v/>
      </c>
      <c r="M47" s="495"/>
      <c r="N47" s="318"/>
      <c r="O47" s="349">
        <v>2</v>
      </c>
      <c r="P47" s="350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 x14ac:dyDescent="0.2">
      <c r="A48" s="60" t="s">
        <v>329</v>
      </c>
      <c r="B48" s="485"/>
      <c r="C48" s="171">
        <v>44893</v>
      </c>
      <c r="D48" s="194" t="s">
        <v>136</v>
      </c>
      <c r="E48" s="177" t="s">
        <v>146</v>
      </c>
      <c r="F48" s="78" t="s">
        <v>9</v>
      </c>
      <c r="G48" s="328">
        <v>1</v>
      </c>
      <c r="H48" s="329" t="s">
        <v>0</v>
      </c>
      <c r="I48" s="337">
        <v>0</v>
      </c>
      <c r="J48" s="81" t="s">
        <v>2</v>
      </c>
      <c r="K48" s="52"/>
      <c r="L48" s="495" t="str">
        <f>IF(OR(Copa2022!F56="",G48=""),"",
IF(AND(Copa2022!F56=Eduardo!G48,Copa2022!H56=Eduardo!I48),Regras!$J$25,IF(Y48=Regras!F70,Regras!$J$26,0)))</f>
        <v/>
      </c>
      <c r="M48" s="495"/>
      <c r="N48" s="318"/>
      <c r="O48" s="346">
        <v>3</v>
      </c>
      <c r="P48" s="345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 x14ac:dyDescent="0.25">
      <c r="A49" s="60" t="s">
        <v>330</v>
      </c>
      <c r="B49" s="485"/>
      <c r="C49" s="171">
        <v>44897</v>
      </c>
      <c r="D49" s="194" t="s">
        <v>132</v>
      </c>
      <c r="E49" s="177" t="s">
        <v>148</v>
      </c>
      <c r="F49" s="78" t="s">
        <v>5</v>
      </c>
      <c r="G49" s="328">
        <v>0</v>
      </c>
      <c r="H49" s="329" t="s">
        <v>0</v>
      </c>
      <c r="I49" s="337">
        <v>2</v>
      </c>
      <c r="J49" s="81" t="s">
        <v>9</v>
      </c>
      <c r="K49" s="52"/>
      <c r="L49" s="495" t="str">
        <f>IF(OR(Copa2022!F57="",G49=""),"",
IF(AND(Copa2022!F57=Eduardo!G49,Copa2022!H57=Eduardo!I49),Regras!$J$25,IF(Y49=Regras!F71,Regras!$J$26,0)))</f>
        <v/>
      </c>
      <c r="M49" s="495"/>
      <c r="N49" s="318"/>
      <c r="O49" s="347">
        <v>4</v>
      </c>
      <c r="P49" s="348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 x14ac:dyDescent="0.25">
      <c r="A50" s="477" t="s">
        <v>331</v>
      </c>
      <c r="B50" s="486"/>
      <c r="C50" s="173">
        <v>44897</v>
      </c>
      <c r="D50" s="195" t="s">
        <v>132</v>
      </c>
      <c r="E50" s="178" t="s">
        <v>164</v>
      </c>
      <c r="F50" s="19" t="s">
        <v>152</v>
      </c>
      <c r="G50" s="341">
        <v>0</v>
      </c>
      <c r="H50" s="342" t="s">
        <v>0</v>
      </c>
      <c r="I50" s="343">
        <v>1</v>
      </c>
      <c r="J50" s="130" t="s">
        <v>2</v>
      </c>
      <c r="K50" s="52"/>
      <c r="L50" s="495" t="str">
        <f>IF(OR(Copa2022!F58="",G50=""),"",
IF(AND(Copa2022!F58=Eduardo!G50,Copa2022!H58=Eduardo!I50),Regras!$J$25,IF(Y50=Regras!F72,Regras!$J$26,0)))</f>
        <v/>
      </c>
      <c r="M50" s="495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x14ac:dyDescent="0.2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 x14ac:dyDescent="0.25">
      <c r="B52" s="44"/>
      <c r="C52" s="506" t="s">
        <v>124</v>
      </c>
      <c r="D52" s="507"/>
      <c r="E52" s="507"/>
      <c r="F52" s="507"/>
      <c r="G52" s="507"/>
      <c r="H52" s="507"/>
      <c r="I52" s="507"/>
      <c r="J52" s="507"/>
      <c r="K52" s="507"/>
      <c r="L52" s="507"/>
      <c r="M52" s="508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 x14ac:dyDescent="0.25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4" t="s">
        <v>78</v>
      </c>
      <c r="M53" s="505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 x14ac:dyDescent="0.25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 x14ac:dyDescent="0.25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 x14ac:dyDescent="0.25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 x14ac:dyDescent="0.25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 x14ac:dyDescent="0.25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 x14ac:dyDescent="0.25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 x14ac:dyDescent="0.25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 x14ac:dyDescent="0.25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 x14ac:dyDescent="0.25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23" t="s">
        <v>78</v>
      </c>
      <c r="M62" s="524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 x14ac:dyDescent="0.25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 x14ac:dyDescent="0.25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 x14ac:dyDescent="0.25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 x14ac:dyDescent="0.25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 x14ac:dyDescent="0.25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20" t="s">
        <v>78</v>
      </c>
      <c r="M67" s="522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 x14ac:dyDescent="0.25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 x14ac:dyDescent="0.25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 x14ac:dyDescent="0.25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20" t="s">
        <v>78</v>
      </c>
      <c r="M70" s="522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 x14ac:dyDescent="0.25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 x14ac:dyDescent="0.25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20" t="s">
        <v>78</v>
      </c>
      <c r="M72" s="521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 x14ac:dyDescent="0.25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 x14ac:dyDescent="0.2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 x14ac:dyDescent="0.25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 x14ac:dyDescent="0.25">
      <c r="C76" s="2"/>
      <c r="D76" s="2"/>
      <c r="E76" s="125" t="s">
        <v>83</v>
      </c>
      <c r="F76" s="511">
        <f>'2ª Fase'!E40:I40</f>
        <v>0</v>
      </c>
      <c r="G76" s="511"/>
      <c r="H76" s="511"/>
      <c r="I76" s="511"/>
      <c r="J76" s="512"/>
      <c r="K76" s="50"/>
      <c r="L76" s="1"/>
      <c r="M76" s="1"/>
    </row>
    <row r="77" spans="1:25" ht="15" customHeight="1" x14ac:dyDescent="0.2">
      <c r="C77" s="2"/>
      <c r="D77" s="2"/>
      <c r="E77" s="126" t="s">
        <v>84</v>
      </c>
      <c r="F77" s="513">
        <f>'2ª Fase'!E41:I41</f>
        <v>0</v>
      </c>
      <c r="G77" s="513"/>
      <c r="H77" s="513"/>
      <c r="I77" s="513"/>
      <c r="J77" s="514"/>
      <c r="K77" s="50"/>
      <c r="L77" s="1"/>
      <c r="M77" s="1"/>
    </row>
    <row r="78" spans="1:25" ht="15" customHeight="1" x14ac:dyDescent="0.2">
      <c r="C78" s="2"/>
      <c r="D78" s="2"/>
      <c r="E78" s="127" t="s">
        <v>102</v>
      </c>
      <c r="F78" s="515">
        <f>'2ª Fase'!E42:I42</f>
        <v>0</v>
      </c>
      <c r="G78" s="515"/>
      <c r="H78" s="515"/>
      <c r="I78" s="515"/>
      <c r="J78" s="516"/>
      <c r="K78" s="50"/>
      <c r="L78" s="1"/>
      <c r="M78" s="1"/>
    </row>
    <row r="79" spans="1:25" ht="15" customHeight="1" thickBot="1" x14ac:dyDescent="0.25">
      <c r="C79" s="2"/>
      <c r="D79" s="2"/>
      <c r="E79" s="128" t="s">
        <v>103</v>
      </c>
      <c r="F79" s="517">
        <f>'2ª Fase'!E43:I43</f>
        <v>0</v>
      </c>
      <c r="G79" s="517"/>
      <c r="H79" s="517"/>
      <c r="I79" s="517"/>
      <c r="J79" s="518"/>
      <c r="K79" s="50"/>
      <c r="L79" s="1"/>
      <c r="M79" s="1"/>
    </row>
    <row r="80" spans="1:25" ht="15" hidden="1" customHeight="1" x14ac:dyDescent="0.2">
      <c r="C80" s="2"/>
      <c r="D80" s="2"/>
      <c r="E80" s="192"/>
      <c r="F80" s="509"/>
      <c r="G80" s="509"/>
      <c r="H80" s="509"/>
      <c r="I80" s="509"/>
      <c r="J80" s="510"/>
      <c r="K80" s="50"/>
      <c r="L80" s="129"/>
      <c r="M80" s="1"/>
    </row>
    <row r="81" spans="3:13" ht="15.75" x14ac:dyDescent="0.2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 x14ac:dyDescent="0.2"/>
    <row r="90" spans="3:13" ht="15.75" customHeight="1" x14ac:dyDescent="0.2"/>
    <row r="91" spans="3:13" ht="15.75" customHeight="1" x14ac:dyDescent="0.2"/>
    <row r="92" spans="3:13" ht="15.75" customHeight="1" x14ac:dyDescent="0.2"/>
    <row r="93" spans="3:13" ht="15.75" customHeight="1" x14ac:dyDescent="0.2"/>
    <row r="94" spans="3:13" ht="15.75" customHeight="1" x14ac:dyDescent="0.2"/>
    <row r="95" spans="3:13" ht="15.75" customHeight="1" x14ac:dyDescent="0.2"/>
    <row r="96" spans="3:13" ht="15.75" customHeight="1" x14ac:dyDescent="0.2"/>
    <row r="117" spans="2:25" s="9" customFormat="1" ht="15.75" hidden="1" x14ac:dyDescent="0.2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F76:J76"/>
    <mergeCell ref="F77:J77"/>
    <mergeCell ref="F78:J78"/>
    <mergeCell ref="F79:J79"/>
    <mergeCell ref="F80:J80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B39:B44"/>
    <mergeCell ref="L39:M39"/>
    <mergeCell ref="O39:P39"/>
    <mergeCell ref="L40:M40"/>
    <mergeCell ref="L41:M41"/>
    <mergeCell ref="L42:M42"/>
    <mergeCell ref="L43:M43"/>
    <mergeCell ref="L44:M44"/>
    <mergeCell ref="B33:B38"/>
    <mergeCell ref="L33:M33"/>
    <mergeCell ref="O33:P33"/>
    <mergeCell ref="L34:M34"/>
    <mergeCell ref="L35:M35"/>
    <mergeCell ref="L36:M36"/>
    <mergeCell ref="L37:M37"/>
    <mergeCell ref="L38:M38"/>
    <mergeCell ref="B27:B32"/>
    <mergeCell ref="L27:M27"/>
    <mergeCell ref="O27:P27"/>
    <mergeCell ref="L28:M28"/>
    <mergeCell ref="L29:M29"/>
    <mergeCell ref="L30:M30"/>
    <mergeCell ref="L31:M31"/>
    <mergeCell ref="L32:M32"/>
    <mergeCell ref="B21:B26"/>
    <mergeCell ref="L21:M21"/>
    <mergeCell ref="O21:P21"/>
    <mergeCell ref="L22:M22"/>
    <mergeCell ref="L23:M23"/>
    <mergeCell ref="L24:M24"/>
    <mergeCell ref="L25:M25"/>
    <mergeCell ref="L26:M26"/>
    <mergeCell ref="B15:B20"/>
    <mergeCell ref="L15:M15"/>
    <mergeCell ref="O15:P15"/>
    <mergeCell ref="L16:M16"/>
    <mergeCell ref="L17:M17"/>
    <mergeCell ref="L18:M18"/>
    <mergeCell ref="L19:M19"/>
    <mergeCell ref="L20:M20"/>
    <mergeCell ref="B9:B14"/>
    <mergeCell ref="L9:M9"/>
    <mergeCell ref="O9:P9"/>
    <mergeCell ref="L10:M10"/>
    <mergeCell ref="L11:M11"/>
    <mergeCell ref="L12:M12"/>
    <mergeCell ref="L13:M13"/>
    <mergeCell ref="L14:M14"/>
    <mergeCell ref="B3:B8"/>
    <mergeCell ref="L3:M3"/>
    <mergeCell ref="O3:P3"/>
    <mergeCell ref="L4:M4"/>
    <mergeCell ref="L5:M5"/>
    <mergeCell ref="L6:M6"/>
    <mergeCell ref="L7:M7"/>
    <mergeCell ref="L8:M8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418" priority="51" stopIfTrue="1" operator="equal">
      <formula>#REF!</formula>
    </cfRule>
  </conditionalFormatting>
  <conditionalFormatting sqref="M54:N54">
    <cfRule type="expression" dxfId="417" priority="50">
      <formula>$H$14="penaltis"</formula>
    </cfRule>
  </conditionalFormatting>
  <conditionalFormatting sqref="L55:N55">
    <cfRule type="expression" dxfId="416" priority="49">
      <formula>$H$15="penaltis"</formula>
    </cfRule>
  </conditionalFormatting>
  <conditionalFormatting sqref="L56:N56">
    <cfRule type="expression" dxfId="415" priority="48">
      <formula>$H$16="penaltis"</formula>
    </cfRule>
  </conditionalFormatting>
  <conditionalFormatting sqref="L57:N57">
    <cfRule type="expression" dxfId="414" priority="47">
      <formula>$H$17="penaltis"</formula>
    </cfRule>
  </conditionalFormatting>
  <conditionalFormatting sqref="L58:N58">
    <cfRule type="expression" dxfId="413" priority="46">
      <formula>$H$18="penaltis"</formula>
    </cfRule>
  </conditionalFormatting>
  <conditionalFormatting sqref="L59:N59">
    <cfRule type="expression" dxfId="412" priority="45">
      <formula>$H$19="penaltis"</formula>
    </cfRule>
  </conditionalFormatting>
  <conditionalFormatting sqref="L60:N60">
    <cfRule type="expression" dxfId="411" priority="44">
      <formula>$H$20="penaltis"</formula>
    </cfRule>
  </conditionalFormatting>
  <conditionalFormatting sqref="L61:N61">
    <cfRule type="expression" dxfId="410" priority="43">
      <formula>$H$21="penaltis"</formula>
    </cfRule>
  </conditionalFormatting>
  <conditionalFormatting sqref="N63">
    <cfRule type="expression" dxfId="409" priority="42">
      <formula>$H$23="penaltis"</formula>
    </cfRule>
  </conditionalFormatting>
  <conditionalFormatting sqref="N64">
    <cfRule type="expression" dxfId="408" priority="41" stopIfTrue="1">
      <formula>$H$24="penaltis"</formula>
    </cfRule>
  </conditionalFormatting>
  <conditionalFormatting sqref="N65">
    <cfRule type="expression" dxfId="407" priority="40" stopIfTrue="1">
      <formula>$H$25="penaltis"</formula>
    </cfRule>
  </conditionalFormatting>
  <conditionalFormatting sqref="N66">
    <cfRule type="expression" dxfId="406" priority="39" stopIfTrue="1">
      <formula>$H$26="penaltis"</formula>
    </cfRule>
  </conditionalFormatting>
  <conditionalFormatting sqref="N68">
    <cfRule type="expression" dxfId="405" priority="38" stopIfTrue="1">
      <formula>$H$28="penaltis"</formula>
    </cfRule>
  </conditionalFormatting>
  <conditionalFormatting sqref="N69">
    <cfRule type="expression" dxfId="404" priority="37" stopIfTrue="1">
      <formula>$H$29="penaltis"</formula>
    </cfRule>
  </conditionalFormatting>
  <conditionalFormatting sqref="N71">
    <cfRule type="expression" dxfId="403" priority="36" stopIfTrue="1">
      <formula>$H$31="penaltis"</formula>
    </cfRule>
  </conditionalFormatting>
  <conditionalFormatting sqref="N73">
    <cfRule type="expression" dxfId="402" priority="35" stopIfTrue="1">
      <formula>$H$33="penaltis"</formula>
    </cfRule>
  </conditionalFormatting>
  <conditionalFormatting sqref="L54:M54">
    <cfRule type="expression" dxfId="401" priority="34" stopIfTrue="1">
      <formula>$K$54="penaltis"</formula>
    </cfRule>
  </conditionalFormatting>
  <conditionalFormatting sqref="L55:M55">
    <cfRule type="expression" dxfId="400" priority="33" stopIfTrue="1">
      <formula>$K$55="penaltis"</formula>
    </cfRule>
  </conditionalFormatting>
  <conditionalFormatting sqref="L56:M56">
    <cfRule type="expression" dxfId="399" priority="32" stopIfTrue="1">
      <formula>$K$56="penaltis"</formula>
    </cfRule>
  </conditionalFormatting>
  <conditionalFormatting sqref="L57:M57">
    <cfRule type="expression" dxfId="398" priority="31" stopIfTrue="1">
      <formula>$K$57="penaltis"</formula>
    </cfRule>
  </conditionalFormatting>
  <conditionalFormatting sqref="L58:M58">
    <cfRule type="expression" dxfId="397" priority="30" stopIfTrue="1">
      <formula>$K$58="penaltis"</formula>
    </cfRule>
  </conditionalFormatting>
  <conditionalFormatting sqref="L59:M59">
    <cfRule type="expression" dxfId="396" priority="29" stopIfTrue="1">
      <formula>$K$59="penaltis"</formula>
    </cfRule>
  </conditionalFormatting>
  <conditionalFormatting sqref="L60:M60">
    <cfRule type="expression" dxfId="395" priority="28" stopIfTrue="1">
      <formula>$K$60="penaltis"</formula>
    </cfRule>
  </conditionalFormatting>
  <conditionalFormatting sqref="L61:M61">
    <cfRule type="expression" dxfId="394" priority="27" stopIfTrue="1">
      <formula>$K$61="penaltis"</formula>
    </cfRule>
  </conditionalFormatting>
  <conditionalFormatting sqref="L63:M63">
    <cfRule type="expression" dxfId="393" priority="26">
      <formula>$K$63="penaltis"</formula>
    </cfRule>
  </conditionalFormatting>
  <conditionalFormatting sqref="L64:M64">
    <cfRule type="expression" dxfId="392" priority="25">
      <formula>$K$64="penaltis"</formula>
    </cfRule>
  </conditionalFormatting>
  <conditionalFormatting sqref="L65:M65">
    <cfRule type="expression" dxfId="391" priority="24">
      <formula>$K$65="penaltis"</formula>
    </cfRule>
  </conditionalFormatting>
  <conditionalFormatting sqref="L66:M66">
    <cfRule type="expression" dxfId="390" priority="23">
      <formula>$K$66="penaltis"</formula>
    </cfRule>
  </conditionalFormatting>
  <conditionalFormatting sqref="L68:M68">
    <cfRule type="expression" dxfId="389" priority="22">
      <formula>$K$68="penaltis"</formula>
    </cfRule>
  </conditionalFormatting>
  <conditionalFormatting sqref="L69:M69">
    <cfRule type="expression" dxfId="388" priority="21">
      <formula>$K$69="penaltis"</formula>
    </cfRule>
  </conditionalFormatting>
  <conditionalFormatting sqref="L71:M71">
    <cfRule type="expression" dxfId="387" priority="20">
      <formula>$K$71="penaltis"</formula>
    </cfRule>
  </conditionalFormatting>
  <conditionalFormatting sqref="L73:M73">
    <cfRule type="expression" dxfId="386" priority="19">
      <formula>$K$73="penaltis"</formula>
    </cfRule>
  </conditionalFormatting>
  <conditionalFormatting sqref="Q4:X5">
    <cfRule type="expression" dxfId="385" priority="18">
      <formula>$R$8=12</formula>
    </cfRule>
  </conditionalFormatting>
  <conditionalFormatting sqref="Q10:X11">
    <cfRule type="expression" dxfId="384" priority="17">
      <formula>$R$14=12</formula>
    </cfRule>
  </conditionalFormatting>
  <conditionalFormatting sqref="Q16:X17">
    <cfRule type="expression" dxfId="383" priority="16">
      <formula>$R$20=12</formula>
    </cfRule>
  </conditionalFormatting>
  <conditionalFormatting sqref="Q22:X23">
    <cfRule type="expression" dxfId="382" priority="15">
      <formula>$R$26=12</formula>
    </cfRule>
  </conditionalFormatting>
  <conditionalFormatting sqref="Q28:X29">
    <cfRule type="expression" dxfId="381" priority="14">
      <formula>$R$32=12</formula>
    </cfRule>
  </conditionalFormatting>
  <conditionalFormatting sqref="Q34:X35">
    <cfRule type="expression" dxfId="380" priority="13">
      <formula>$R$38=12</formula>
    </cfRule>
  </conditionalFormatting>
  <conditionalFormatting sqref="Q40:X41">
    <cfRule type="expression" dxfId="379" priority="12">
      <formula>$R$44=12</formula>
    </cfRule>
  </conditionalFormatting>
  <conditionalFormatting sqref="Q46:X47">
    <cfRule type="expression" dxfId="378" priority="11">
      <formula>$R$50=12</formula>
    </cfRule>
  </conditionalFormatting>
  <conditionalFormatting sqref="F62:J73 B45 B9 B15 B21 B27 B33 B3 F3:F50 J3:J50">
    <cfRule type="cellIs" dxfId="377" priority="52" stopIfTrue="1" operator="equal">
      <formula>#REF!</formula>
    </cfRule>
  </conditionalFormatting>
  <conditionalFormatting sqref="B39">
    <cfRule type="cellIs" dxfId="376" priority="10" stopIfTrue="1" operator="equal">
      <formula>#REF!</formula>
    </cfRule>
  </conditionalFormatting>
  <conditionalFormatting sqref="F54:J61">
    <cfRule type="cellIs" dxfId="375" priority="9" stopIfTrue="1" operator="equal">
      <formula>$Z$7</formula>
    </cfRule>
  </conditionalFormatting>
  <conditionalFormatting sqref="O4:P5">
    <cfRule type="expression" dxfId="374" priority="8">
      <formula>$R$16=12</formula>
    </cfRule>
  </conditionalFormatting>
  <conditionalFormatting sqref="O10:P11">
    <cfRule type="expression" dxfId="373" priority="7">
      <formula>$R$22=12</formula>
    </cfRule>
  </conditionalFormatting>
  <conditionalFormatting sqref="O16:P17">
    <cfRule type="expression" dxfId="372" priority="6">
      <formula>$R$28=12</formula>
    </cfRule>
  </conditionalFormatting>
  <conditionalFormatting sqref="O22:P23">
    <cfRule type="expression" dxfId="371" priority="5">
      <formula>$R$34=12</formula>
    </cfRule>
  </conditionalFormatting>
  <conditionalFormatting sqref="O28:P29">
    <cfRule type="expression" dxfId="370" priority="4">
      <formula>$R$40=12</formula>
    </cfRule>
  </conditionalFormatting>
  <conditionalFormatting sqref="O34:P35">
    <cfRule type="expression" dxfId="369" priority="3">
      <formula>$R$46=12</formula>
    </cfRule>
  </conditionalFormatting>
  <conditionalFormatting sqref="O40:P41">
    <cfRule type="expression" dxfId="368" priority="2">
      <formula>$R$52=12</formula>
    </cfRule>
  </conditionalFormatting>
  <conditionalFormatting sqref="O46:P47">
    <cfRule type="expression" dxfId="367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 xr:uid="{00000000-0002-0000-0D00-000000000000}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1:HW117"/>
  <sheetViews>
    <sheetView workbookViewId="0">
      <selection activeCell="L25" sqref="L25:M25"/>
    </sheetView>
  </sheetViews>
  <sheetFormatPr defaultColWidth="0" defaultRowHeight="0" customHeight="1" zeroHeight="1" x14ac:dyDescent="0.2"/>
  <cols>
    <col min="1" max="1" width="6.3203125" customWidth="1"/>
    <col min="2" max="2" width="6.05078125" style="5" bestFit="1" customWidth="1"/>
    <col min="3" max="3" width="9.81640625" style="10" bestFit="1" customWidth="1"/>
    <col min="4" max="4" width="5.24609375" style="10" bestFit="1" customWidth="1"/>
    <col min="5" max="5" width="17.75390625" style="10" bestFit="1" customWidth="1"/>
    <col min="6" max="6" width="25.69140625" style="11" customWidth="1"/>
    <col min="7" max="7" width="2.6875" style="42" customWidth="1"/>
    <col min="8" max="8" width="2.6875" customWidth="1"/>
    <col min="9" max="9" width="2.6875" style="42" customWidth="1"/>
    <col min="10" max="10" width="25.69140625" style="12" customWidth="1"/>
    <col min="11" max="11" width="13.31640625" style="51" hidden="1" customWidth="1"/>
    <col min="12" max="13" width="3.2265625" customWidth="1"/>
    <col min="14" max="14" width="2.82421875" style="1" customWidth="1"/>
    <col min="15" max="15" width="2.015625" style="109" bestFit="1" customWidth="1"/>
    <col min="16" max="16" width="26.09765625" style="113" customWidth="1"/>
    <col min="17" max="17" width="4.70703125" style="322" customWidth="1"/>
    <col min="18" max="18" width="3.765625" style="322" customWidth="1"/>
    <col min="19" max="19" width="1.8828125" style="322" customWidth="1"/>
    <col min="20" max="20" width="2.28515625" style="322" customWidth="1"/>
    <col min="21" max="21" width="3.765625" style="322" customWidth="1"/>
    <col min="22" max="22" width="2.015625" style="322" customWidth="1"/>
    <col min="23" max="24" width="3.765625" style="322" hidden="1" customWidth="1"/>
    <col min="25" max="25" width="12.9140625" style="1" customWidth="1"/>
    <col min="26" max="36" width="9.14453125" hidden="1" customWidth="1"/>
    <col min="37" max="37" width="8.47265625" hidden="1" customWidth="1"/>
    <col min="38" max="38" width="8.7421875" hidden="1" customWidth="1"/>
    <col min="39" max="39" width="10.0859375" hidden="1" customWidth="1"/>
    <col min="40" max="230" width="9.14453125" hidden="1" customWidth="1"/>
    <col min="231" max="231" width="7.26171875" hidden="1" customWidth="1"/>
    <col min="232" max="16384" width="9.14453125" hidden="1"/>
  </cols>
  <sheetData>
    <row r="1" spans="1:25" s="58" customFormat="1" ht="15" customHeight="1" x14ac:dyDescent="0.2">
      <c r="B1" s="496" t="s">
        <v>94</v>
      </c>
      <c r="C1" s="498" t="s">
        <v>95</v>
      </c>
      <c r="D1" s="498" t="s">
        <v>74</v>
      </c>
      <c r="E1" s="500" t="s">
        <v>75</v>
      </c>
      <c r="F1" s="487" t="s">
        <v>96</v>
      </c>
      <c r="G1" s="488"/>
      <c r="H1" s="488"/>
      <c r="I1" s="488"/>
      <c r="J1" s="489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 x14ac:dyDescent="0.25">
      <c r="B2" s="497"/>
      <c r="C2" s="499"/>
      <c r="D2" s="499"/>
      <c r="E2" s="501"/>
      <c r="F2" s="490"/>
      <c r="G2" s="491"/>
      <c r="H2" s="491"/>
      <c r="I2" s="491"/>
      <c r="J2" s="492"/>
      <c r="K2" s="51"/>
      <c r="L2" s="493"/>
      <c r="M2" s="494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 x14ac:dyDescent="0.25">
      <c r="A3" s="60" t="s">
        <v>284</v>
      </c>
      <c r="B3" s="48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74">
        <v>1</v>
      </c>
      <c r="H3" s="356" t="s">
        <v>0</v>
      </c>
      <c r="I3" s="386">
        <v>0</v>
      </c>
      <c r="J3" s="77" t="s">
        <v>142</v>
      </c>
      <c r="K3" s="52"/>
      <c r="L3" s="495">
        <f>IF(OR(Copa2022!F11="",G3=""),"",
IF(AND(Copa2022!F11=G3,Copa2022!H11=I3),Regras!$J$25,IF(Y3=Regras!F25,Regras!$J$26,0)))</f>
        <v>0</v>
      </c>
      <c r="M3" s="495"/>
      <c r="N3" s="318"/>
      <c r="O3" s="502" t="s">
        <v>220</v>
      </c>
      <c r="P3" s="526"/>
      <c r="Q3" s="324" t="str">
        <f>IF(Copa2022!F16="","",IF(Copa2022!O12=Marcus!P4,Regras!$J$27,0))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Catar</v>
      </c>
    </row>
    <row r="4" spans="1:25" s="60" customFormat="1" ht="35.1" customHeight="1" x14ac:dyDescent="0.2">
      <c r="A4" s="60" t="s">
        <v>285</v>
      </c>
      <c r="B4" s="485"/>
      <c r="C4" s="171">
        <v>44886</v>
      </c>
      <c r="D4" s="194" t="s">
        <v>134</v>
      </c>
      <c r="E4" s="172" t="s">
        <v>157</v>
      </c>
      <c r="F4" s="78" t="s">
        <v>131</v>
      </c>
      <c r="G4" s="375">
        <v>0</v>
      </c>
      <c r="H4" s="358" t="s">
        <v>0</v>
      </c>
      <c r="I4" s="387">
        <v>1</v>
      </c>
      <c r="J4" s="81" t="s">
        <v>140</v>
      </c>
      <c r="K4" s="52"/>
      <c r="L4" s="495">
        <f>IF(OR(Copa2022!F12="",G4=""),"",
IF(AND(Copa2022!F12=G4,Copa2022!H12=I4),Regras!$J$25,IF(Y4=Regras!F26,Regras!$J$26,0)))</f>
        <v>5</v>
      </c>
      <c r="M4" s="495"/>
      <c r="N4" s="318"/>
      <c r="O4" s="378">
        <v>1</v>
      </c>
      <c r="P4" s="377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 x14ac:dyDescent="0.25">
      <c r="A5" s="60" t="s">
        <v>286</v>
      </c>
      <c r="B5" s="485"/>
      <c r="C5" s="171">
        <v>44890</v>
      </c>
      <c r="D5" s="194" t="s">
        <v>135</v>
      </c>
      <c r="E5" s="172" t="s">
        <v>157</v>
      </c>
      <c r="F5" s="78" t="s">
        <v>141</v>
      </c>
      <c r="G5" s="375">
        <v>1</v>
      </c>
      <c r="H5" s="358" t="s">
        <v>0</v>
      </c>
      <c r="I5" s="387">
        <v>0</v>
      </c>
      <c r="J5" s="81" t="s">
        <v>131</v>
      </c>
      <c r="K5" s="52"/>
      <c r="L5" s="495" t="str">
        <f>IF(OR(Copa2022!F13="",G5=""),"",
IF(AND(Copa2022!F13=G5,Copa2022!H13=I5),Regras!$J$25,IF(Y5=Regras!F27,Regras!$J$26,0)))</f>
        <v/>
      </c>
      <c r="M5" s="495"/>
      <c r="N5" s="318"/>
      <c r="O5" s="381">
        <v>2</v>
      </c>
      <c r="P5" s="382" t="s">
        <v>141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 x14ac:dyDescent="0.2">
      <c r="A6" s="60" t="s">
        <v>287</v>
      </c>
      <c r="B6" s="485"/>
      <c r="C6" s="171">
        <v>44890</v>
      </c>
      <c r="D6" s="194" t="s">
        <v>134</v>
      </c>
      <c r="E6" s="172" t="s">
        <v>143</v>
      </c>
      <c r="F6" s="78" t="s">
        <v>140</v>
      </c>
      <c r="G6" s="375">
        <v>3</v>
      </c>
      <c r="H6" s="358" t="s">
        <v>0</v>
      </c>
      <c r="I6" s="387">
        <v>0</v>
      </c>
      <c r="J6" s="81" t="s">
        <v>142</v>
      </c>
      <c r="K6" s="52"/>
      <c r="L6" s="495" t="str">
        <f>IF(OR(Copa2022!F14="",G6=""),"",
IF(AND(Copa2022!F14=G6,Copa2022!H14=I6),Regras!$J$25,IF(Y6=Regras!F28,Regras!$J$26,0)))</f>
        <v/>
      </c>
      <c r="M6" s="495"/>
      <c r="N6" s="318"/>
      <c r="O6" s="378">
        <v>3</v>
      </c>
      <c r="P6" s="377" t="s">
        <v>131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 x14ac:dyDescent="0.25">
      <c r="A7" s="60" t="s">
        <v>288</v>
      </c>
      <c r="B7" s="485"/>
      <c r="C7" s="171">
        <v>44894</v>
      </c>
      <c r="D7" s="194" t="s">
        <v>132</v>
      </c>
      <c r="E7" s="172" t="s">
        <v>161</v>
      </c>
      <c r="F7" s="78" t="s">
        <v>140</v>
      </c>
      <c r="G7" s="375">
        <v>1</v>
      </c>
      <c r="H7" s="358" t="s">
        <v>0</v>
      </c>
      <c r="I7" s="387">
        <v>1</v>
      </c>
      <c r="J7" s="81" t="s">
        <v>141</v>
      </c>
      <c r="K7" s="52"/>
      <c r="L7" s="495" t="str">
        <f>IF(OR(Copa2022!F15="",G7=""),"",
IF(AND(Copa2022!F15=G7,Copa2022!H15=I7),Regras!$J$25,IF(Y7=Regras!F29,Regras!$J$26,0)))</f>
        <v/>
      </c>
      <c r="M7" s="495"/>
      <c r="N7" s="318"/>
      <c r="O7" s="379">
        <v>4</v>
      </c>
      <c r="P7" s="380" t="s">
        <v>142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 x14ac:dyDescent="0.25">
      <c r="A8" s="60" t="s">
        <v>289</v>
      </c>
      <c r="B8" s="486"/>
      <c r="C8" s="173">
        <v>44590</v>
      </c>
      <c r="D8" s="195" t="s">
        <v>132</v>
      </c>
      <c r="E8" s="174" t="s">
        <v>143</v>
      </c>
      <c r="F8" s="86" t="s">
        <v>142</v>
      </c>
      <c r="G8" s="376">
        <v>0</v>
      </c>
      <c r="H8" s="362" t="s">
        <v>0</v>
      </c>
      <c r="I8" s="388">
        <v>1</v>
      </c>
      <c r="J8" s="89" t="s">
        <v>131</v>
      </c>
      <c r="K8" s="52"/>
      <c r="L8" s="495" t="str">
        <f>IF(OR(Copa2022!F16="",G8=""),"",
IF(AND(Copa2022!F16=G8,Copa2022!H16=I8),Regras!$J$25,IF(Y8=Regras!F30,Regras!$J$26,0)))</f>
        <v/>
      </c>
      <c r="M8" s="495"/>
      <c r="N8" s="318"/>
      <c r="O8" s="385"/>
      <c r="P8" s="38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 x14ac:dyDescent="0.25">
      <c r="A9" s="60" t="s">
        <v>290</v>
      </c>
      <c r="B9" s="48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59">
        <v>3</v>
      </c>
      <c r="H9" s="360" t="s">
        <v>0</v>
      </c>
      <c r="I9" s="368">
        <v>0</v>
      </c>
      <c r="J9" s="85" t="s">
        <v>123</v>
      </c>
      <c r="K9" s="52"/>
      <c r="L9" s="495">
        <f>IF(OR(Copa2022!F17="",G9=""),"",
IF(AND(Copa2022!F17=G9,Copa2022!H17=I9),Regras!$J$25,IF(Y9=Regras!F31,Regras!$J$26,0)))</f>
        <v>5</v>
      </c>
      <c r="M9" s="495"/>
      <c r="N9" s="318"/>
      <c r="O9" s="502" t="s">
        <v>48</v>
      </c>
      <c r="P9" s="503"/>
      <c r="Q9" s="324" t="str">
        <f>IF(Copa2022!F22="","",IF(Copa2022!O18=Marcus!P10,Regras!$J$27,0))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 x14ac:dyDescent="0.2">
      <c r="A10" s="60" t="s">
        <v>291</v>
      </c>
      <c r="B10" s="485"/>
      <c r="C10" s="171">
        <v>44886</v>
      </c>
      <c r="D10" s="194" t="s">
        <v>136</v>
      </c>
      <c r="E10" s="177" t="s">
        <v>162</v>
      </c>
      <c r="F10" s="78" t="s">
        <v>145</v>
      </c>
      <c r="G10" s="375">
        <v>1</v>
      </c>
      <c r="H10" s="358" t="s">
        <v>0</v>
      </c>
      <c r="I10" s="387">
        <v>0</v>
      </c>
      <c r="J10" s="81" t="s">
        <v>158</v>
      </c>
      <c r="K10" s="52"/>
      <c r="L10" s="495">
        <f>IF(OR(Copa2022!F18="",G10=""),"",
IF(AND(Copa2022!F18=G10,Copa2022!H18=I10),Regras!$J$25,IF(Y10=Regras!F32,Regras!$J$26,0)))</f>
        <v>0</v>
      </c>
      <c r="M10" s="495"/>
      <c r="N10" s="318"/>
      <c r="O10" s="378">
        <v>1</v>
      </c>
      <c r="P10" s="377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Estados Unidos</v>
      </c>
    </row>
    <row r="11" spans="1:25" s="60" customFormat="1" ht="35.1" customHeight="1" thickBot="1" x14ac:dyDescent="0.25">
      <c r="A11" s="60" t="s">
        <v>292</v>
      </c>
      <c r="B11" s="485"/>
      <c r="C11" s="171">
        <v>44890</v>
      </c>
      <c r="D11" s="194" t="s">
        <v>133</v>
      </c>
      <c r="E11" s="177" t="s">
        <v>162</v>
      </c>
      <c r="F11" s="78" t="s">
        <v>158</v>
      </c>
      <c r="G11" s="375">
        <v>1</v>
      </c>
      <c r="H11" s="358" t="s">
        <v>0</v>
      </c>
      <c r="I11" s="387">
        <v>1</v>
      </c>
      <c r="J11" s="81" t="s">
        <v>123</v>
      </c>
      <c r="K11" s="52"/>
      <c r="L11" s="495" t="str">
        <f>IF(OR(Copa2022!F19="",G11=""),"",
IF(AND(Copa2022!F19=G11,Copa2022!H19=I11),Regras!$J$25,IF(Y11=Regras!F33,Regras!$J$26,0)))</f>
        <v/>
      </c>
      <c r="M11" s="495"/>
      <c r="N11" s="318"/>
      <c r="O11" s="381">
        <v>2</v>
      </c>
      <c r="P11" s="382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 x14ac:dyDescent="0.2">
      <c r="A12" s="60" t="s">
        <v>293</v>
      </c>
      <c r="B12" s="485"/>
      <c r="C12" s="171">
        <v>44890</v>
      </c>
      <c r="D12" s="194" t="s">
        <v>136</v>
      </c>
      <c r="E12" s="177" t="s">
        <v>161</v>
      </c>
      <c r="F12" s="78" t="s">
        <v>6</v>
      </c>
      <c r="G12" s="375">
        <v>2</v>
      </c>
      <c r="H12" s="358" t="s">
        <v>0</v>
      </c>
      <c r="I12" s="387">
        <v>0</v>
      </c>
      <c r="J12" s="81" t="s">
        <v>145</v>
      </c>
      <c r="K12" s="52"/>
      <c r="L12" s="495" t="str">
        <f>IF(OR(Copa2022!F20="",G12=""),"",
IF(AND(Copa2022!F20=G12,Copa2022!H20=I12),Regras!$J$25,IF(Y12=Regras!F34,Regras!$J$26,0)))</f>
        <v/>
      </c>
      <c r="M12" s="495"/>
      <c r="N12" s="318"/>
      <c r="O12" s="378">
        <v>3</v>
      </c>
      <c r="P12" s="377" t="s">
        <v>123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 x14ac:dyDescent="0.25">
      <c r="A13" s="60" t="s">
        <v>294</v>
      </c>
      <c r="B13" s="485"/>
      <c r="C13" s="171">
        <v>44894</v>
      </c>
      <c r="D13" s="194" t="s">
        <v>136</v>
      </c>
      <c r="E13" s="177" t="s">
        <v>162</v>
      </c>
      <c r="F13" s="78" t="s">
        <v>158</v>
      </c>
      <c r="G13" s="375">
        <v>0</v>
      </c>
      <c r="H13" s="358" t="s">
        <v>0</v>
      </c>
      <c r="I13" s="387">
        <v>2</v>
      </c>
      <c r="J13" s="81" t="s">
        <v>6</v>
      </c>
      <c r="K13" s="52"/>
      <c r="L13" s="495" t="str">
        <f>IF(OR(Copa2022!F21="",G13=""),"",
IF(AND(Copa2022!F21=G13,Copa2022!H21=I13),Regras!$J$25,IF(Y13=Regras!F35,Regras!$J$26,0)))</f>
        <v/>
      </c>
      <c r="M13" s="495"/>
      <c r="N13" s="318"/>
      <c r="O13" s="379">
        <v>4</v>
      </c>
      <c r="P13" s="380" t="s">
        <v>158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 x14ac:dyDescent="0.25">
      <c r="A14" s="60" t="s">
        <v>295</v>
      </c>
      <c r="B14" s="486"/>
      <c r="C14" s="173">
        <v>44894</v>
      </c>
      <c r="D14" s="195" t="s">
        <v>136</v>
      </c>
      <c r="E14" s="178" t="s">
        <v>157</v>
      </c>
      <c r="F14" s="90" t="s">
        <v>123</v>
      </c>
      <c r="G14" s="363">
        <v>1</v>
      </c>
      <c r="H14" s="364" t="s">
        <v>0</v>
      </c>
      <c r="I14" s="369">
        <v>1</v>
      </c>
      <c r="J14" s="93" t="s">
        <v>145</v>
      </c>
      <c r="K14" s="52"/>
      <c r="L14" s="495" t="str">
        <f>IF(OR(Copa2022!F22="",G14=""),"",
IF(AND(Copa2022!F22=G14,Copa2022!H22=I14),Regras!$J$25,IF(Y14=Regras!F36,Regras!$J$26,0)))</f>
        <v/>
      </c>
      <c r="M14" s="495"/>
      <c r="N14" s="318"/>
      <c r="O14" s="373"/>
      <c r="P14" s="377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 x14ac:dyDescent="0.25">
      <c r="A15" s="60" t="s">
        <v>296</v>
      </c>
      <c r="B15" s="48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74">
        <v>1</v>
      </c>
      <c r="H15" s="356" t="s">
        <v>0</v>
      </c>
      <c r="I15" s="386">
        <v>0</v>
      </c>
      <c r="J15" s="77" t="s">
        <v>125</v>
      </c>
      <c r="K15" s="52"/>
      <c r="L15" s="495">
        <f>IF(OR(Copa2022!F23="",G15=""),"",
IF(AND(Copa2022!F23=G15,Copa2022!H23=I15),Regras!$J$25,IF(Y15=Regras!F37,Regras!$J$26,0)))</f>
        <v>0</v>
      </c>
      <c r="M15" s="495"/>
      <c r="N15" s="318"/>
      <c r="O15" s="502" t="s">
        <v>50</v>
      </c>
      <c r="P15" s="503"/>
      <c r="Q15" s="324" t="str">
        <f>IF(Copa2022!F28="","",IF(Copa2022!O24=Marcus!P16,Regras!$J$27,0))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 x14ac:dyDescent="0.2">
      <c r="A16" s="60" t="s">
        <v>297</v>
      </c>
      <c r="B16" s="485"/>
      <c r="C16" s="171">
        <v>44887</v>
      </c>
      <c r="D16" s="194" t="s">
        <v>134</v>
      </c>
      <c r="E16" s="172" t="s">
        <v>163</v>
      </c>
      <c r="F16" s="78" t="s">
        <v>1</v>
      </c>
      <c r="G16" s="375">
        <v>1</v>
      </c>
      <c r="H16" s="358" t="s">
        <v>0</v>
      </c>
      <c r="I16" s="387">
        <v>0</v>
      </c>
      <c r="J16" s="81" t="s">
        <v>130</v>
      </c>
      <c r="K16" s="52"/>
      <c r="L16" s="495">
        <f>IF(OR(Copa2022!F24="",G16=""),"",
IF(AND(Copa2022!F24=G16,Copa2022!H24=I16),Regras!$J$25,IF(Y16=Regras!F38,Regras!$J$26,0)))</f>
        <v>0</v>
      </c>
      <c r="M16" s="495"/>
      <c r="N16" s="318"/>
      <c r="O16" s="378">
        <v>1</v>
      </c>
      <c r="P16" s="377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México</v>
      </c>
    </row>
    <row r="17" spans="1:25" s="60" customFormat="1" ht="35.1" customHeight="1" thickBot="1" x14ac:dyDescent="0.25">
      <c r="A17" s="60" t="s">
        <v>298</v>
      </c>
      <c r="B17" s="485"/>
      <c r="C17" s="171">
        <v>44891</v>
      </c>
      <c r="D17" s="194" t="s">
        <v>135</v>
      </c>
      <c r="E17" s="172" t="s">
        <v>148</v>
      </c>
      <c r="F17" s="78" t="s">
        <v>130</v>
      </c>
      <c r="G17" s="375">
        <v>2</v>
      </c>
      <c r="H17" s="358" t="s">
        <v>0</v>
      </c>
      <c r="I17" s="387">
        <v>0</v>
      </c>
      <c r="J17" s="81" t="s">
        <v>125</v>
      </c>
      <c r="K17" s="52"/>
      <c r="L17" s="495" t="str">
        <f>IF(OR(Copa2022!F25="",G17=""),"",
IF(AND(Copa2022!F25=G17,Copa2022!H25=I17),Regras!$J$25,IF(Y17=Regras!F39,Regras!$J$26,0)))</f>
        <v/>
      </c>
      <c r="M17" s="495"/>
      <c r="N17" s="318"/>
      <c r="O17" s="381">
        <v>2</v>
      </c>
      <c r="P17" s="382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 x14ac:dyDescent="0.2">
      <c r="A18" s="60" t="s">
        <v>299</v>
      </c>
      <c r="B18" s="485"/>
      <c r="C18" s="171">
        <v>44891</v>
      </c>
      <c r="D18" s="194" t="s">
        <v>136</v>
      </c>
      <c r="E18" s="172" t="s">
        <v>146</v>
      </c>
      <c r="F18" s="78" t="s">
        <v>4</v>
      </c>
      <c r="G18" s="375">
        <v>3</v>
      </c>
      <c r="H18" s="358" t="s">
        <v>0</v>
      </c>
      <c r="I18" s="387">
        <v>0</v>
      </c>
      <c r="J18" s="81" t="s">
        <v>1</v>
      </c>
      <c r="K18" s="52"/>
      <c r="L18" s="495" t="str">
        <f>IF(OR(Copa2022!F26="",G18=""),"",
IF(AND(Copa2022!F26=G18,Copa2022!H26=I18),Regras!$J$25,IF(Y18=Regras!F40,Regras!$J$26,0)))</f>
        <v/>
      </c>
      <c r="M18" s="495"/>
      <c r="N18" s="318"/>
      <c r="O18" s="378">
        <v>3</v>
      </c>
      <c r="P18" s="377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 x14ac:dyDescent="0.25">
      <c r="A19" s="60" t="s">
        <v>300</v>
      </c>
      <c r="B19" s="485"/>
      <c r="C19" s="171">
        <v>44895</v>
      </c>
      <c r="D19" s="194" t="s">
        <v>136</v>
      </c>
      <c r="E19" s="172" t="s">
        <v>163</v>
      </c>
      <c r="F19" s="78" t="s">
        <v>130</v>
      </c>
      <c r="G19" s="375">
        <v>1</v>
      </c>
      <c r="H19" s="358" t="s">
        <v>0</v>
      </c>
      <c r="I19" s="387">
        <v>1</v>
      </c>
      <c r="J19" s="81" t="s">
        <v>4</v>
      </c>
      <c r="K19" s="52"/>
      <c r="L19" s="495" t="str">
        <f>IF(OR(Copa2022!F27="",G19=""),"",
IF(AND(Copa2022!F27=G19,Copa2022!H27=I19),Regras!$J$25,IF(Y19=Regras!F41,Regras!$J$26,0)))</f>
        <v/>
      </c>
      <c r="M19" s="495"/>
      <c r="N19" s="318"/>
      <c r="O19" s="379">
        <v>4</v>
      </c>
      <c r="P19" s="380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 x14ac:dyDescent="0.25">
      <c r="A20" s="60" t="s">
        <v>301</v>
      </c>
      <c r="B20" s="486"/>
      <c r="C20" s="173">
        <v>44895</v>
      </c>
      <c r="D20" s="195" t="s">
        <v>136</v>
      </c>
      <c r="E20" s="174" t="s">
        <v>146</v>
      </c>
      <c r="F20" s="86" t="s">
        <v>125</v>
      </c>
      <c r="G20" s="376">
        <v>0</v>
      </c>
      <c r="H20" s="362" t="s">
        <v>0</v>
      </c>
      <c r="I20" s="388">
        <v>0</v>
      </c>
      <c r="J20" s="89" t="s">
        <v>1</v>
      </c>
      <c r="K20" s="52"/>
      <c r="L20" s="495" t="str">
        <f>IF(OR(Copa2022!F28="",G20=""),"",
IF(AND(Copa2022!F28=G20,Copa2022!H28=I20),Regras!$J$25,IF(Y20=Regras!F42,Regras!$J$26,0)))</f>
        <v/>
      </c>
      <c r="M20" s="495"/>
      <c r="N20" s="318"/>
      <c r="O20" s="373"/>
      <c r="P20" s="377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 x14ac:dyDescent="0.25">
      <c r="A21" s="60" t="s">
        <v>302</v>
      </c>
      <c r="B21" s="48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59">
        <v>1</v>
      </c>
      <c r="H21" s="360" t="s">
        <v>0</v>
      </c>
      <c r="I21" s="368">
        <v>0</v>
      </c>
      <c r="J21" s="85" t="s">
        <v>129</v>
      </c>
      <c r="K21" s="52"/>
      <c r="L21" s="495">
        <f>IF(OR(Copa2022!F29="",G21=""),"",
IF(AND(Copa2022!F29=G21,Copa2022!H29=I21),Regras!$J$25,IF(Y21=Regras!F43,Regras!$J$26,0)))</f>
        <v>0</v>
      </c>
      <c r="M21" s="495"/>
      <c r="N21" s="318"/>
      <c r="O21" s="502" t="s">
        <v>51</v>
      </c>
      <c r="P21" s="503"/>
      <c r="Q21" s="324" t="str">
        <f>IF(Copa2022!F34="","",IF(Copa2022!O30=Marcus!P22,Regras!$J$27,0))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 x14ac:dyDescent="0.2">
      <c r="A22" s="60" t="s">
        <v>303</v>
      </c>
      <c r="B22" s="485"/>
      <c r="C22" s="171">
        <v>44887</v>
      </c>
      <c r="D22" s="194" t="s">
        <v>136</v>
      </c>
      <c r="E22" s="177" t="s">
        <v>164</v>
      </c>
      <c r="F22" s="78" t="s">
        <v>3</v>
      </c>
      <c r="G22" s="375">
        <v>3</v>
      </c>
      <c r="H22" s="358" t="s">
        <v>0</v>
      </c>
      <c r="I22" s="387">
        <v>0</v>
      </c>
      <c r="J22" s="81" t="s">
        <v>159</v>
      </c>
      <c r="K22" s="52"/>
      <c r="L22" s="495">
        <f>IF(OR(Copa2022!F30="",G22=""),"",
IF(AND(Copa2022!F30=G22,Copa2022!H30=I22),Regras!$J$25,IF(Y22=Regras!F44,Regras!$J$26,0)))</f>
        <v>5</v>
      </c>
      <c r="M22" s="495"/>
      <c r="N22" s="318"/>
      <c r="O22" s="378">
        <v>1</v>
      </c>
      <c r="P22" s="377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 x14ac:dyDescent="0.25">
      <c r="A23" s="60" t="s">
        <v>304</v>
      </c>
      <c r="B23" s="485"/>
      <c r="C23" s="171">
        <v>44891</v>
      </c>
      <c r="D23" s="194" t="s">
        <v>133</v>
      </c>
      <c r="E23" s="177" t="s">
        <v>164</v>
      </c>
      <c r="F23" s="78" t="s">
        <v>129</v>
      </c>
      <c r="G23" s="375">
        <v>0</v>
      </c>
      <c r="H23" s="358" t="s">
        <v>0</v>
      </c>
      <c r="I23" s="387">
        <v>0</v>
      </c>
      <c r="J23" s="81" t="s">
        <v>159</v>
      </c>
      <c r="K23" s="52"/>
      <c r="L23" s="495" t="str">
        <f>IF(OR(Copa2022!F31="",G23=""),"",
IF(AND(Copa2022!F31=G23,Copa2022!H31=I23),Regras!$J$25,IF(Y23=Regras!F45,Regras!$J$26,0)))</f>
        <v/>
      </c>
      <c r="M23" s="495"/>
      <c r="N23" s="318"/>
      <c r="O23" s="381">
        <v>2</v>
      </c>
      <c r="P23" s="382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 x14ac:dyDescent="0.2">
      <c r="A24" s="60" t="s">
        <v>305</v>
      </c>
      <c r="B24" s="485"/>
      <c r="C24" s="171">
        <v>44891</v>
      </c>
      <c r="D24" s="194" t="s">
        <v>134</v>
      </c>
      <c r="E24" s="177" t="s">
        <v>163</v>
      </c>
      <c r="F24" s="78" t="s">
        <v>3</v>
      </c>
      <c r="G24" s="375">
        <v>3</v>
      </c>
      <c r="H24" s="358" t="s">
        <v>0</v>
      </c>
      <c r="I24" s="387">
        <v>3</v>
      </c>
      <c r="J24" s="81" t="s">
        <v>127</v>
      </c>
      <c r="K24" s="52"/>
      <c r="L24" s="495" t="str">
        <f>IF(OR(Copa2022!F32="",G24=""),"",
IF(AND(Copa2022!F32=G24,Copa2022!H32=I24),Regras!$J$25,IF(Y24=Regras!F46,Regras!$J$26,0)))</f>
        <v/>
      </c>
      <c r="M24" s="495"/>
      <c r="N24" s="318"/>
      <c r="O24" s="378">
        <v>3</v>
      </c>
      <c r="P24" s="377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 x14ac:dyDescent="0.25">
      <c r="A25" s="60" t="s">
        <v>306</v>
      </c>
      <c r="B25" s="485"/>
      <c r="C25" s="171">
        <v>44895</v>
      </c>
      <c r="D25" s="194" t="s">
        <v>132</v>
      </c>
      <c r="E25" s="177" t="s">
        <v>148</v>
      </c>
      <c r="F25" s="78" t="s">
        <v>129</v>
      </c>
      <c r="G25" s="375">
        <v>1</v>
      </c>
      <c r="H25" s="358" t="s">
        <v>0</v>
      </c>
      <c r="I25" s="387">
        <v>2</v>
      </c>
      <c r="J25" s="81" t="s">
        <v>3</v>
      </c>
      <c r="K25" s="52"/>
      <c r="L25" s="495" t="str">
        <f>IF(OR(Copa2022!F33="",G25=""),"",
IF(AND(Copa2022!F33=G25,Copa2022!H33=I25),Regras!$J$25,IF(Y25=Regras!F47,Regras!$J$26,0)))</f>
        <v/>
      </c>
      <c r="M25" s="495"/>
      <c r="N25" s="318"/>
      <c r="O25" s="379">
        <v>4</v>
      </c>
      <c r="P25" s="380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 x14ac:dyDescent="0.25">
      <c r="A26" s="60" t="s">
        <v>307</v>
      </c>
      <c r="B26" s="486"/>
      <c r="C26" s="173">
        <v>44895</v>
      </c>
      <c r="D26" s="195" t="s">
        <v>132</v>
      </c>
      <c r="E26" s="178" t="s">
        <v>164</v>
      </c>
      <c r="F26" s="90" t="s">
        <v>159</v>
      </c>
      <c r="G26" s="363">
        <v>0</v>
      </c>
      <c r="H26" s="364" t="s">
        <v>0</v>
      </c>
      <c r="I26" s="369">
        <v>0</v>
      </c>
      <c r="J26" s="93" t="s">
        <v>127</v>
      </c>
      <c r="K26" s="52"/>
      <c r="L26" s="495" t="str">
        <f>IF(OR(Copa2022!F34="",G26=""),"",
IF(AND(Copa2022!F34=G26,Copa2022!H34=I26),Regras!$J$25,IF(Y26=Regras!F48,Regras!$J$26,0)))</f>
        <v/>
      </c>
      <c r="M26" s="495"/>
      <c r="N26" s="318"/>
      <c r="O26" s="373"/>
      <c r="P26" s="377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 x14ac:dyDescent="0.25">
      <c r="A27" s="60" t="s">
        <v>308</v>
      </c>
      <c r="B27" s="48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74">
        <v>3</v>
      </c>
      <c r="H27" s="356" t="s">
        <v>0</v>
      </c>
      <c r="I27" s="386">
        <v>0</v>
      </c>
      <c r="J27" s="77" t="s">
        <v>8</v>
      </c>
      <c r="K27" s="52"/>
      <c r="L27" s="495" t="str">
        <f>IF(OR(Copa2022!F35="",G27=""),"",
IF(AND(Copa2022!F35=G27,Copa2022!H35=I27),Regras!$J$25,IF(Y27=Regras!F49,Regras!$J$26,0)))</f>
        <v/>
      </c>
      <c r="M27" s="495"/>
      <c r="N27" s="318"/>
      <c r="O27" s="502" t="s">
        <v>53</v>
      </c>
      <c r="P27" s="503"/>
      <c r="Q27" s="324" t="str">
        <f>IF(Copa2022!F40="","",IF(Copa2022!O36=Marcus!P28,Regras!$J$27,0))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 x14ac:dyDescent="0.2">
      <c r="A28" s="60" t="s">
        <v>309</v>
      </c>
      <c r="B28" s="485"/>
      <c r="C28" s="171">
        <v>44888</v>
      </c>
      <c r="D28" s="194" t="s">
        <v>134</v>
      </c>
      <c r="E28" s="172" t="s">
        <v>157</v>
      </c>
      <c r="F28" s="78" t="s">
        <v>11</v>
      </c>
      <c r="G28" s="375">
        <v>3</v>
      </c>
      <c r="H28" s="358" t="s">
        <v>0</v>
      </c>
      <c r="I28" s="387">
        <v>0</v>
      </c>
      <c r="J28" s="81" t="s">
        <v>160</v>
      </c>
      <c r="K28" s="52"/>
      <c r="L28" s="495" t="str">
        <f>IF(OR(Copa2022!F36="",G28=""),"",
IF(AND(Copa2022!F36=G28,Copa2022!H36=I28),Regras!$J$25,IF(Y28=Regras!F50,Regras!$J$26,0)))</f>
        <v/>
      </c>
      <c r="M28" s="495"/>
      <c r="N28" s="318"/>
      <c r="O28" s="378">
        <v>1</v>
      </c>
      <c r="P28" s="377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 x14ac:dyDescent="0.25">
      <c r="A29" s="60" t="s">
        <v>310</v>
      </c>
      <c r="B29" s="485"/>
      <c r="C29" s="171">
        <v>44892</v>
      </c>
      <c r="D29" s="194" t="s">
        <v>133</v>
      </c>
      <c r="E29" s="172" t="s">
        <v>162</v>
      </c>
      <c r="F29" s="78" t="s">
        <v>8</v>
      </c>
      <c r="G29" s="375">
        <v>1</v>
      </c>
      <c r="H29" s="358" t="s">
        <v>0</v>
      </c>
      <c r="I29" s="387">
        <v>1</v>
      </c>
      <c r="J29" s="81" t="s">
        <v>160</v>
      </c>
      <c r="K29" s="52"/>
      <c r="L29" s="495" t="str">
        <f>IF(OR(Copa2022!F37="",G29=""),"",
IF(AND(Copa2022!F37=G29,Copa2022!H37=I29),Regras!$J$25,IF(Y29=Regras!F51,Regras!$J$26,0)))</f>
        <v/>
      </c>
      <c r="M29" s="495"/>
      <c r="N29" s="318"/>
      <c r="O29" s="381">
        <v>2</v>
      </c>
      <c r="P29" s="382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 x14ac:dyDescent="0.2">
      <c r="A30" s="60" t="s">
        <v>311</v>
      </c>
      <c r="B30" s="485"/>
      <c r="C30" s="171">
        <v>44892</v>
      </c>
      <c r="D30" s="194" t="s">
        <v>136</v>
      </c>
      <c r="E30" s="172" t="s">
        <v>161</v>
      </c>
      <c r="F30" s="78" t="s">
        <v>11</v>
      </c>
      <c r="G30" s="375">
        <v>2</v>
      </c>
      <c r="H30" s="358" t="s">
        <v>0</v>
      </c>
      <c r="I30" s="387">
        <v>2</v>
      </c>
      <c r="J30" s="81" t="s">
        <v>7</v>
      </c>
      <c r="K30" s="52"/>
      <c r="L30" s="495" t="str">
        <f>IF(OR(Copa2022!F38="",G30=""),"",
IF(AND(Copa2022!F38=G30,Copa2022!H38=I30),Regras!$J$25,IF(Y30=Regras!F52,Regras!$J$26,0)))</f>
        <v/>
      </c>
      <c r="M30" s="495"/>
      <c r="N30" s="318"/>
      <c r="O30" s="378">
        <v>3</v>
      </c>
      <c r="P30" s="377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 x14ac:dyDescent="0.25">
      <c r="A31" s="60" t="s">
        <v>312</v>
      </c>
      <c r="B31" s="485"/>
      <c r="C31" s="171">
        <v>44896</v>
      </c>
      <c r="D31" s="194" t="s">
        <v>136</v>
      </c>
      <c r="E31" s="172" t="s">
        <v>143</v>
      </c>
      <c r="F31" s="78" t="s">
        <v>8</v>
      </c>
      <c r="G31" s="375">
        <v>1</v>
      </c>
      <c r="H31" s="358" t="s">
        <v>0</v>
      </c>
      <c r="I31" s="387">
        <v>2</v>
      </c>
      <c r="J31" s="81" t="s">
        <v>11</v>
      </c>
      <c r="K31" s="52"/>
      <c r="L31" s="495" t="str">
        <f>IF(OR(Copa2022!F39="",G31=""),"",
IF(AND(Copa2022!F39=G31,Copa2022!H39=I31),Regras!$J$25,IF(Y31=Regras!F53,Regras!$J$26,0)))</f>
        <v/>
      </c>
      <c r="M31" s="495"/>
      <c r="N31" s="318"/>
      <c r="O31" s="379">
        <v>4</v>
      </c>
      <c r="P31" s="380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 x14ac:dyDescent="0.25">
      <c r="A32" s="60" t="s">
        <v>313</v>
      </c>
      <c r="B32" s="486"/>
      <c r="C32" s="173">
        <v>44896</v>
      </c>
      <c r="D32" s="195" t="s">
        <v>136</v>
      </c>
      <c r="E32" s="174" t="s">
        <v>161</v>
      </c>
      <c r="F32" s="86" t="s">
        <v>160</v>
      </c>
      <c r="G32" s="376">
        <v>0</v>
      </c>
      <c r="H32" s="362" t="s">
        <v>0</v>
      </c>
      <c r="I32" s="388">
        <v>3</v>
      </c>
      <c r="J32" s="89" t="s">
        <v>7</v>
      </c>
      <c r="K32" s="52"/>
      <c r="L32" s="495" t="str">
        <f>IF(OR(Copa2022!F40="",G32=""),"",
IF(AND(Copa2022!F40=G32,Copa2022!H40=I32),Regras!$J$25,IF(Y32=Regras!F54,Regras!$J$26,0)))</f>
        <v/>
      </c>
      <c r="M32" s="495"/>
      <c r="N32" s="318"/>
      <c r="O32" s="373"/>
      <c r="P32" s="377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 x14ac:dyDescent="0.25">
      <c r="A33" s="60" t="s">
        <v>314</v>
      </c>
      <c r="B33" s="48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59">
        <v>0</v>
      </c>
      <c r="H33" s="360" t="s">
        <v>0</v>
      </c>
      <c r="I33" s="368">
        <v>0</v>
      </c>
      <c r="J33" s="85" t="s">
        <v>70</v>
      </c>
      <c r="K33" s="52"/>
      <c r="L33" s="495" t="str">
        <f>IF(OR(Copa2022!F41="",G33=""),"",
IF(AND(Copa2022!F41=G33,Copa2022!H41=I33),Regras!$J$25,IF(Y33=Regras!F55,Regras!$J$26,0)))</f>
        <v/>
      </c>
      <c r="M33" s="495"/>
      <c r="N33" s="318"/>
      <c r="O33" s="502" t="s">
        <v>56</v>
      </c>
      <c r="P33" s="503"/>
      <c r="Q33" s="324" t="str">
        <f>IF(Copa2022!F46="","",IF(Copa2022!O42=Marcus!P34,Regras!$J$27,0))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/>
      </c>
    </row>
    <row r="34" spans="1:25" s="60" customFormat="1" ht="35.1" customHeight="1" x14ac:dyDescent="0.2">
      <c r="A34" s="60" t="s">
        <v>315</v>
      </c>
      <c r="B34" s="485"/>
      <c r="C34" s="171">
        <v>44888</v>
      </c>
      <c r="D34" s="194" t="s">
        <v>136</v>
      </c>
      <c r="E34" s="177" t="s">
        <v>162</v>
      </c>
      <c r="F34" s="78" t="s">
        <v>104</v>
      </c>
      <c r="G34" s="375">
        <v>3</v>
      </c>
      <c r="H34" s="358" t="s">
        <v>0</v>
      </c>
      <c r="I34" s="387">
        <v>0</v>
      </c>
      <c r="J34" s="81" t="s">
        <v>150</v>
      </c>
      <c r="K34" s="52"/>
      <c r="L34" s="495" t="str">
        <f>IF(OR(Copa2022!F42="",G34=""),"",
IF(AND(Copa2022!F42=G34,Copa2022!H42=I34),Regras!$J$25,IF(Y34=Regras!F56,Regras!$J$26,0)))</f>
        <v/>
      </c>
      <c r="M34" s="495"/>
      <c r="N34" s="318"/>
      <c r="O34" s="378">
        <v>1</v>
      </c>
      <c r="P34" s="377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 x14ac:dyDescent="0.25">
      <c r="A35" s="60" t="s">
        <v>316</v>
      </c>
      <c r="B35" s="485"/>
      <c r="C35" s="171">
        <v>44892</v>
      </c>
      <c r="D35" s="194" t="s">
        <v>135</v>
      </c>
      <c r="E35" s="177" t="s">
        <v>157</v>
      </c>
      <c r="F35" s="78" t="s">
        <v>104</v>
      </c>
      <c r="G35" s="375">
        <v>3</v>
      </c>
      <c r="H35" s="358" t="s">
        <v>0</v>
      </c>
      <c r="I35" s="387">
        <v>0</v>
      </c>
      <c r="J35" s="81" t="s">
        <v>126</v>
      </c>
      <c r="K35" s="52"/>
      <c r="L35" s="495" t="str">
        <f>IF(OR(Copa2022!F43="",G35=""),"",
IF(AND(Copa2022!F43=G35,Copa2022!H43=I35),Regras!$J$25,IF(Y35=Regras!F57,Regras!$J$26,0)))</f>
        <v/>
      </c>
      <c r="M35" s="495"/>
      <c r="N35" s="318"/>
      <c r="O35" s="381">
        <v>2</v>
      </c>
      <c r="P35" s="382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 x14ac:dyDescent="0.2">
      <c r="A36" s="60" t="s">
        <v>317</v>
      </c>
      <c r="B36" s="485"/>
      <c r="C36" s="171">
        <v>44892</v>
      </c>
      <c r="D36" s="194" t="s">
        <v>134</v>
      </c>
      <c r="E36" s="177" t="s">
        <v>143</v>
      </c>
      <c r="F36" s="78" t="s">
        <v>70</v>
      </c>
      <c r="G36" s="375">
        <v>1</v>
      </c>
      <c r="H36" s="358" t="s">
        <v>0</v>
      </c>
      <c r="I36" s="387">
        <v>0</v>
      </c>
      <c r="J36" s="81" t="s">
        <v>150</v>
      </c>
      <c r="K36" s="52"/>
      <c r="L36" s="495" t="str">
        <f>IF(OR(Copa2022!F44="",G36=""),"",
IF(AND(Copa2022!F44=G36,Copa2022!H44=I36),Regras!$J$25,IF(Y36=Regras!F58,Regras!$J$26,0)))</f>
        <v/>
      </c>
      <c r="M36" s="495"/>
      <c r="N36" s="318"/>
      <c r="O36" s="378">
        <v>3</v>
      </c>
      <c r="P36" s="377" t="s">
        <v>126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 x14ac:dyDescent="0.25">
      <c r="A37" s="60" t="s">
        <v>318</v>
      </c>
      <c r="B37" s="485"/>
      <c r="C37" s="171">
        <v>44896</v>
      </c>
      <c r="D37" s="194" t="s">
        <v>132</v>
      </c>
      <c r="E37" s="177" t="s">
        <v>162</v>
      </c>
      <c r="F37" s="78" t="s">
        <v>70</v>
      </c>
      <c r="G37" s="375">
        <v>1</v>
      </c>
      <c r="H37" s="358" t="s">
        <v>0</v>
      </c>
      <c r="I37" s="387">
        <v>2</v>
      </c>
      <c r="J37" s="81" t="s">
        <v>104</v>
      </c>
      <c r="K37" s="52"/>
      <c r="L37" s="495" t="str">
        <f>IF(OR(Copa2022!F45="",G37=""),"",
IF(AND(Copa2022!F45=G37,Copa2022!H45=I37),Regras!$J$25,IF(Y37=Regras!F59,Regras!$J$26,0)))</f>
        <v/>
      </c>
      <c r="M37" s="495"/>
      <c r="N37" s="318"/>
      <c r="O37" s="379">
        <v>4</v>
      </c>
      <c r="P37" s="380" t="s">
        <v>150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 x14ac:dyDescent="0.25">
      <c r="A38" s="60" t="s">
        <v>319</v>
      </c>
      <c r="B38" s="486"/>
      <c r="C38" s="173">
        <v>44896</v>
      </c>
      <c r="D38" s="195" t="s">
        <v>132</v>
      </c>
      <c r="E38" s="178" t="s">
        <v>157</v>
      </c>
      <c r="F38" s="90" t="s">
        <v>150</v>
      </c>
      <c r="G38" s="363">
        <v>0</v>
      </c>
      <c r="H38" s="364" t="s">
        <v>0</v>
      </c>
      <c r="I38" s="369">
        <v>0</v>
      </c>
      <c r="J38" s="93" t="s">
        <v>126</v>
      </c>
      <c r="K38" s="52"/>
      <c r="L38" s="495" t="str">
        <f>IF(OR(Copa2022!F46="",G38=""),"",
IF(AND(Copa2022!F46=G38,Copa2022!H46=I38),Regras!$J$25,IF(Y38=Regras!F60,Regras!$J$26,0)))</f>
        <v/>
      </c>
      <c r="M38" s="495"/>
      <c r="N38" s="318"/>
      <c r="O38" s="373"/>
      <c r="P38" s="377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 x14ac:dyDescent="0.25">
      <c r="A39" s="60" t="s">
        <v>320</v>
      </c>
      <c r="B39" s="48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74">
        <v>1</v>
      </c>
      <c r="H39" s="356" t="s">
        <v>0</v>
      </c>
      <c r="I39" s="386">
        <v>0</v>
      </c>
      <c r="J39" s="77" t="s">
        <v>151</v>
      </c>
      <c r="K39" s="52"/>
      <c r="L39" s="495" t="str">
        <f>IF(OR(Copa2022!F47="",G39=""),"",
IF(AND(Copa2022!F47=G39,Copa2022!H47=I39),Regras!$J$25,IF(Y39=Regras!F61,Regras!$J$26,0)))</f>
        <v/>
      </c>
      <c r="M39" s="495"/>
      <c r="N39" s="318"/>
      <c r="O39" s="502" t="s">
        <v>58</v>
      </c>
      <c r="P39" s="503"/>
      <c r="Q39" s="324" t="str">
        <f>IF(Copa2022!F52="","",IF(Copa2022!O48=Marcus!P40,Regras!$J$27,0))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 x14ac:dyDescent="0.2">
      <c r="A40" s="60" t="s">
        <v>321</v>
      </c>
      <c r="B40" s="485"/>
      <c r="C40" s="171">
        <v>44889</v>
      </c>
      <c r="D40" s="194" t="s">
        <v>136</v>
      </c>
      <c r="E40" s="172" t="s">
        <v>146</v>
      </c>
      <c r="F40" s="78" t="s">
        <v>10</v>
      </c>
      <c r="G40" s="375">
        <v>2</v>
      </c>
      <c r="H40" s="358" t="s">
        <v>0</v>
      </c>
      <c r="I40" s="387">
        <v>2</v>
      </c>
      <c r="J40" s="81" t="s">
        <v>128</v>
      </c>
      <c r="K40" s="52"/>
      <c r="L40" s="495" t="str">
        <f>IF(OR(Copa2022!F48="",G40=""),"",
IF(AND(Copa2022!F48=G40,Copa2022!H48=I40),Regras!$J$25,IF(Y40=Regras!F62,Regras!$J$26,0)))</f>
        <v/>
      </c>
      <c r="M40" s="495"/>
      <c r="N40" s="318"/>
      <c r="O40" s="383">
        <v>1</v>
      </c>
      <c r="P40" s="384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 x14ac:dyDescent="0.25">
      <c r="A41" s="60" t="s">
        <v>322</v>
      </c>
      <c r="B41" s="485"/>
      <c r="C41" s="171">
        <v>44893</v>
      </c>
      <c r="D41" s="194" t="s">
        <v>133</v>
      </c>
      <c r="E41" s="172" t="s">
        <v>164</v>
      </c>
      <c r="F41" s="78" t="s">
        <v>151</v>
      </c>
      <c r="G41" s="375">
        <v>2</v>
      </c>
      <c r="H41" s="358" t="s">
        <v>0</v>
      </c>
      <c r="I41" s="387">
        <v>2</v>
      </c>
      <c r="J41" s="81" t="s">
        <v>128</v>
      </c>
      <c r="K41" s="52"/>
      <c r="L41" s="495" t="str">
        <f>IF(OR(Copa2022!F49="",G41=""),"",
IF(AND(Copa2022!F49=G41,Copa2022!H49=I41),Regras!$J$25,IF(Y41=Regras!F63,Regras!$J$26,0)))</f>
        <v/>
      </c>
      <c r="M41" s="495"/>
      <c r="N41" s="318"/>
      <c r="O41" s="381">
        <v>2</v>
      </c>
      <c r="P41" s="382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 x14ac:dyDescent="0.2">
      <c r="A42" s="60" t="s">
        <v>323</v>
      </c>
      <c r="B42" s="485"/>
      <c r="C42" s="171">
        <v>44893</v>
      </c>
      <c r="D42" s="194" t="s">
        <v>134</v>
      </c>
      <c r="E42" s="172" t="s">
        <v>163</v>
      </c>
      <c r="F42" s="78" t="s">
        <v>10</v>
      </c>
      <c r="G42" s="375">
        <v>1</v>
      </c>
      <c r="H42" s="358" t="s">
        <v>0</v>
      </c>
      <c r="I42" s="387">
        <v>0</v>
      </c>
      <c r="J42" s="81" t="s">
        <v>12</v>
      </c>
      <c r="K42" s="52"/>
      <c r="L42" s="495" t="str">
        <f>IF(OR(Copa2022!F50="",G42=""),"",
IF(AND(Copa2022!F50=G42,Copa2022!H50=I42),Regras!$J$25,IF(Y42=Regras!F64,Regras!$J$26,0)))</f>
        <v/>
      </c>
      <c r="M42" s="495"/>
      <c r="N42" s="318"/>
      <c r="O42" s="378">
        <v>3</v>
      </c>
      <c r="P42" s="377" t="s">
        <v>128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 x14ac:dyDescent="0.25">
      <c r="A43" s="60" t="s">
        <v>324</v>
      </c>
      <c r="B43" s="485"/>
      <c r="C43" s="171">
        <v>44897</v>
      </c>
      <c r="D43" s="194" t="s">
        <v>136</v>
      </c>
      <c r="E43" s="172" t="s">
        <v>146</v>
      </c>
      <c r="F43" s="78" t="s">
        <v>151</v>
      </c>
      <c r="G43" s="375">
        <v>1</v>
      </c>
      <c r="H43" s="358" t="s">
        <v>0</v>
      </c>
      <c r="I43" s="387">
        <v>3</v>
      </c>
      <c r="J43" s="81" t="s">
        <v>10</v>
      </c>
      <c r="K43" s="52"/>
      <c r="L43" s="495" t="str">
        <f>IF(OR(Copa2022!F51="",G43=""),"",
IF(AND(Copa2022!F51=G43,Copa2022!H51=I43),Regras!$J$25,IF(Y43=Regras!F65,Regras!$J$26,0)))</f>
        <v/>
      </c>
      <c r="M43" s="495"/>
      <c r="N43" s="318"/>
      <c r="O43" s="379">
        <v>4</v>
      </c>
      <c r="P43" s="380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 x14ac:dyDescent="0.25">
      <c r="A44" s="60" t="s">
        <v>325</v>
      </c>
      <c r="B44" s="486"/>
      <c r="C44" s="173">
        <v>44897</v>
      </c>
      <c r="D44" s="195" t="s">
        <v>136</v>
      </c>
      <c r="E44" s="174" t="s">
        <v>163</v>
      </c>
      <c r="F44" s="86" t="s">
        <v>128</v>
      </c>
      <c r="G44" s="376">
        <v>1</v>
      </c>
      <c r="H44" s="362" t="s">
        <v>0</v>
      </c>
      <c r="I44" s="388">
        <v>1</v>
      </c>
      <c r="J44" s="89" t="s">
        <v>12</v>
      </c>
      <c r="K44" s="52"/>
      <c r="L44" s="495" t="str">
        <f>IF(OR(Copa2022!F52="",G44=""),"",
IF(AND(Copa2022!F52=G44,Copa2022!H52=I44),Regras!$J$25,IF(Y44=Regras!F66,Regras!$J$26,0)))</f>
        <v/>
      </c>
      <c r="M44" s="495"/>
      <c r="N44" s="318"/>
      <c r="O44" s="373"/>
      <c r="P44" s="377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 x14ac:dyDescent="0.25">
      <c r="A45" s="60" t="s">
        <v>326</v>
      </c>
      <c r="B45" s="48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59">
        <v>2</v>
      </c>
      <c r="H45" s="360" t="s">
        <v>0</v>
      </c>
      <c r="I45" s="368">
        <v>0</v>
      </c>
      <c r="J45" s="85" t="s">
        <v>5</v>
      </c>
      <c r="K45" s="52"/>
      <c r="L45" s="495" t="str">
        <f>IF(OR(Copa2022!F53="",G45=""),"",
IF(AND(Copa2022!F53=G45,Copa2022!H53=I45),Regras!$J$25,IF(Y45=Regras!F67,Regras!$J$26,0)))</f>
        <v/>
      </c>
      <c r="M45" s="495"/>
      <c r="N45" s="318"/>
      <c r="O45" s="502" t="s">
        <v>59</v>
      </c>
      <c r="P45" s="503"/>
      <c r="Q45" s="324" t="str">
        <f>IF(Copa2022!F58="","",IF(Copa2022!O54=Marcus!P46,Regras!$J$27,0))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 x14ac:dyDescent="0.2">
      <c r="A46" s="60" t="s">
        <v>327</v>
      </c>
      <c r="B46" s="485"/>
      <c r="C46" s="171">
        <v>44889</v>
      </c>
      <c r="D46" s="194" t="s">
        <v>134</v>
      </c>
      <c r="E46" s="177" t="s">
        <v>163</v>
      </c>
      <c r="F46" s="78" t="s">
        <v>9</v>
      </c>
      <c r="G46" s="375">
        <v>2</v>
      </c>
      <c r="H46" s="358" t="s">
        <v>0</v>
      </c>
      <c r="I46" s="387">
        <v>1</v>
      </c>
      <c r="J46" s="81" t="s">
        <v>152</v>
      </c>
      <c r="K46" s="52"/>
      <c r="L46" s="495" t="str">
        <f>IF(OR(Copa2022!F54="",G46=""),"",
IF(AND(Copa2022!F54=G46,Copa2022!H54=I46),Regras!$J$25,IF(Y46=Regras!F68,Regras!$J$26,0)))</f>
        <v/>
      </c>
      <c r="M46" s="495"/>
      <c r="N46" s="318"/>
      <c r="O46" s="378">
        <v>1</v>
      </c>
      <c r="P46" s="377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 x14ac:dyDescent="0.25">
      <c r="A47" s="60" t="s">
        <v>328</v>
      </c>
      <c r="B47" s="485"/>
      <c r="C47" s="171">
        <v>44893</v>
      </c>
      <c r="D47" s="194" t="s">
        <v>135</v>
      </c>
      <c r="E47" s="177" t="s">
        <v>148</v>
      </c>
      <c r="F47" s="78" t="s">
        <v>5</v>
      </c>
      <c r="G47" s="375">
        <v>0</v>
      </c>
      <c r="H47" s="358" t="s">
        <v>0</v>
      </c>
      <c r="I47" s="387">
        <v>1</v>
      </c>
      <c r="J47" s="81" t="s">
        <v>152</v>
      </c>
      <c r="K47" s="52"/>
      <c r="L47" s="495" t="str">
        <f>IF(OR(Copa2022!F55="",G47=""),"",
IF(AND(Copa2022!F55=G47,Copa2022!H55=I47),Regras!$J$25,IF(Y47=Regras!F69,Regras!$J$26,0)))</f>
        <v/>
      </c>
      <c r="M47" s="495"/>
      <c r="N47" s="318"/>
      <c r="O47" s="381">
        <v>2</v>
      </c>
      <c r="P47" s="382" t="s">
        <v>9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 x14ac:dyDescent="0.2">
      <c r="A48" s="60" t="s">
        <v>329</v>
      </c>
      <c r="B48" s="485"/>
      <c r="C48" s="171">
        <v>44893</v>
      </c>
      <c r="D48" s="194" t="s">
        <v>136</v>
      </c>
      <c r="E48" s="177" t="s">
        <v>146</v>
      </c>
      <c r="F48" s="78" t="s">
        <v>9</v>
      </c>
      <c r="G48" s="375">
        <v>2</v>
      </c>
      <c r="H48" s="358" t="s">
        <v>0</v>
      </c>
      <c r="I48" s="387">
        <v>2</v>
      </c>
      <c r="J48" s="81" t="s">
        <v>2</v>
      </c>
      <c r="K48" s="52"/>
      <c r="L48" s="495" t="str">
        <f>IF(OR(Copa2022!F56="",G48=""),"",
IF(AND(Copa2022!F56=G48,Copa2022!H56=I48),Regras!$J$25,IF(Y48=Regras!F70,Regras!$J$26,0)))</f>
        <v/>
      </c>
      <c r="M48" s="495"/>
      <c r="N48" s="318"/>
      <c r="O48" s="378">
        <v>3</v>
      </c>
      <c r="P48" s="377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 x14ac:dyDescent="0.25">
      <c r="A49" s="60" t="s">
        <v>330</v>
      </c>
      <c r="B49" s="485"/>
      <c r="C49" s="171">
        <v>44897</v>
      </c>
      <c r="D49" s="194" t="s">
        <v>132</v>
      </c>
      <c r="E49" s="177" t="s">
        <v>148</v>
      </c>
      <c r="F49" s="78" t="s">
        <v>5</v>
      </c>
      <c r="G49" s="375">
        <v>1</v>
      </c>
      <c r="H49" s="358" t="s">
        <v>0</v>
      </c>
      <c r="I49" s="387">
        <v>2</v>
      </c>
      <c r="J49" s="81" t="s">
        <v>9</v>
      </c>
      <c r="K49" s="52"/>
      <c r="L49" s="495" t="str">
        <f>IF(OR(Copa2022!F57="",G49=""),"",
IF(AND(Copa2022!F57=G49,Copa2022!H57=I49),Regras!$J$25,IF(Y49=Regras!F71,Regras!$J$26,0)))</f>
        <v/>
      </c>
      <c r="M49" s="495"/>
      <c r="N49" s="318"/>
      <c r="O49" s="379">
        <v>4</v>
      </c>
      <c r="P49" s="380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 x14ac:dyDescent="0.25">
      <c r="A50" s="477" t="s">
        <v>331</v>
      </c>
      <c r="B50" s="486"/>
      <c r="C50" s="173">
        <v>44897</v>
      </c>
      <c r="D50" s="195" t="s">
        <v>132</v>
      </c>
      <c r="E50" s="178" t="s">
        <v>164</v>
      </c>
      <c r="F50" s="19" t="s">
        <v>152</v>
      </c>
      <c r="G50" s="370">
        <v>0</v>
      </c>
      <c r="H50" s="371" t="s">
        <v>0</v>
      </c>
      <c r="I50" s="372">
        <v>2</v>
      </c>
      <c r="J50" s="130" t="s">
        <v>2</v>
      </c>
      <c r="K50" s="52"/>
      <c r="L50" s="495" t="str">
        <f>IF(OR(Copa2022!F58="",G50=""),"",
IF(AND(Copa2022!F58=G50,Copa2022!H58=I50),Regras!$J$25,IF(Y50=Regras!F72,Regras!$J$26,0)))</f>
        <v/>
      </c>
      <c r="M50" s="495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x14ac:dyDescent="0.2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 x14ac:dyDescent="0.25">
      <c r="B52" s="44"/>
      <c r="C52" s="506" t="s">
        <v>124</v>
      </c>
      <c r="D52" s="507"/>
      <c r="E52" s="507"/>
      <c r="F52" s="507"/>
      <c r="G52" s="507"/>
      <c r="H52" s="507"/>
      <c r="I52" s="507"/>
      <c r="J52" s="507"/>
      <c r="K52" s="507"/>
      <c r="L52" s="507"/>
      <c r="M52" s="508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 x14ac:dyDescent="0.25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4" t="s">
        <v>78</v>
      </c>
      <c r="M53" s="505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 x14ac:dyDescent="0.25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 x14ac:dyDescent="0.25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 x14ac:dyDescent="0.25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 x14ac:dyDescent="0.25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 x14ac:dyDescent="0.25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 x14ac:dyDescent="0.25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 x14ac:dyDescent="0.25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 x14ac:dyDescent="0.25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 x14ac:dyDescent="0.25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23" t="s">
        <v>78</v>
      </c>
      <c r="M62" s="524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 x14ac:dyDescent="0.25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 x14ac:dyDescent="0.25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 x14ac:dyDescent="0.25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 x14ac:dyDescent="0.25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 x14ac:dyDescent="0.25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20" t="s">
        <v>78</v>
      </c>
      <c r="M67" s="522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 x14ac:dyDescent="0.25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 x14ac:dyDescent="0.25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 x14ac:dyDescent="0.25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20" t="s">
        <v>78</v>
      </c>
      <c r="M70" s="522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 x14ac:dyDescent="0.25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 x14ac:dyDescent="0.25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20" t="s">
        <v>78</v>
      </c>
      <c r="M72" s="521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 x14ac:dyDescent="0.25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 x14ac:dyDescent="0.2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 x14ac:dyDescent="0.25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 x14ac:dyDescent="0.25">
      <c r="C76" s="2"/>
      <c r="D76" s="2"/>
      <c r="E76" s="125" t="s">
        <v>83</v>
      </c>
      <c r="F76" s="511">
        <f>'2ª Fase'!E40:I40</f>
        <v>0</v>
      </c>
      <c r="G76" s="511"/>
      <c r="H76" s="511"/>
      <c r="I76" s="511"/>
      <c r="J76" s="512"/>
      <c r="K76" s="50"/>
      <c r="L76" s="1"/>
      <c r="M76" s="1"/>
    </row>
    <row r="77" spans="1:25" ht="15" customHeight="1" x14ac:dyDescent="0.2">
      <c r="C77" s="2"/>
      <c r="D77" s="2"/>
      <c r="E77" s="126" t="s">
        <v>84</v>
      </c>
      <c r="F77" s="513">
        <f>'2ª Fase'!E41:I41</f>
        <v>0</v>
      </c>
      <c r="G77" s="513"/>
      <c r="H77" s="513"/>
      <c r="I77" s="513"/>
      <c r="J77" s="514"/>
      <c r="K77" s="50"/>
      <c r="L77" s="1"/>
      <c r="M77" s="1"/>
    </row>
    <row r="78" spans="1:25" ht="15" customHeight="1" x14ac:dyDescent="0.2">
      <c r="C78" s="2"/>
      <c r="D78" s="2"/>
      <c r="E78" s="127" t="s">
        <v>102</v>
      </c>
      <c r="F78" s="515">
        <f>'2ª Fase'!E42:I42</f>
        <v>0</v>
      </c>
      <c r="G78" s="515"/>
      <c r="H78" s="515"/>
      <c r="I78" s="515"/>
      <c r="J78" s="516"/>
      <c r="K78" s="50"/>
      <c r="L78" s="1"/>
      <c r="M78" s="1"/>
    </row>
    <row r="79" spans="1:25" ht="15" customHeight="1" thickBot="1" x14ac:dyDescent="0.25">
      <c r="C79" s="2"/>
      <c r="D79" s="2"/>
      <c r="E79" s="128" t="s">
        <v>103</v>
      </c>
      <c r="F79" s="517">
        <f>'2ª Fase'!E43:I43</f>
        <v>0</v>
      </c>
      <c r="G79" s="517"/>
      <c r="H79" s="517"/>
      <c r="I79" s="517"/>
      <c r="J79" s="518"/>
      <c r="K79" s="50"/>
      <c r="L79" s="1"/>
      <c r="M79" s="1"/>
    </row>
    <row r="80" spans="1:25" ht="15" hidden="1" customHeight="1" x14ac:dyDescent="0.2">
      <c r="C80" s="2"/>
      <c r="D80" s="2"/>
      <c r="E80" s="192"/>
      <c r="F80" s="509"/>
      <c r="G80" s="509"/>
      <c r="H80" s="509"/>
      <c r="I80" s="509"/>
      <c r="J80" s="510"/>
      <c r="K80" s="50"/>
      <c r="L80" s="129"/>
      <c r="M80" s="1"/>
    </row>
    <row r="81" spans="3:13" ht="15.75" x14ac:dyDescent="0.2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 x14ac:dyDescent="0.2"/>
    <row r="90" spans="3:13" ht="15.75" customHeight="1" x14ac:dyDescent="0.2"/>
    <row r="91" spans="3:13" ht="15.75" customHeight="1" x14ac:dyDescent="0.2"/>
    <row r="92" spans="3:13" ht="15.75" customHeight="1" x14ac:dyDescent="0.2"/>
    <row r="93" spans="3:13" ht="15.75" customHeight="1" x14ac:dyDescent="0.2"/>
    <row r="94" spans="3:13" ht="15.75" customHeight="1" x14ac:dyDescent="0.2"/>
    <row r="95" spans="3:13" ht="15.75" customHeight="1" x14ac:dyDescent="0.2"/>
    <row r="96" spans="3:13" ht="15.75" customHeight="1" x14ac:dyDescent="0.2"/>
    <row r="117" spans="2:25" s="9" customFormat="1" ht="15.75" hidden="1" x14ac:dyDescent="0.2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F76:J76"/>
    <mergeCell ref="F77:J77"/>
    <mergeCell ref="F78:J78"/>
    <mergeCell ref="F79:J79"/>
    <mergeCell ref="F80:J80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B39:B44"/>
    <mergeCell ref="L39:M39"/>
    <mergeCell ref="O39:P39"/>
    <mergeCell ref="L40:M40"/>
    <mergeCell ref="L41:M41"/>
    <mergeCell ref="L42:M42"/>
    <mergeCell ref="L43:M43"/>
    <mergeCell ref="L44:M44"/>
    <mergeCell ref="B33:B38"/>
    <mergeCell ref="L33:M33"/>
    <mergeCell ref="O33:P33"/>
    <mergeCell ref="L34:M34"/>
    <mergeCell ref="L35:M35"/>
    <mergeCell ref="L36:M36"/>
    <mergeCell ref="L37:M37"/>
    <mergeCell ref="L38:M38"/>
    <mergeCell ref="B27:B32"/>
    <mergeCell ref="L27:M27"/>
    <mergeCell ref="O27:P27"/>
    <mergeCell ref="L28:M28"/>
    <mergeCell ref="L29:M29"/>
    <mergeCell ref="L30:M30"/>
    <mergeCell ref="L31:M31"/>
    <mergeCell ref="L32:M32"/>
    <mergeCell ref="B21:B26"/>
    <mergeCell ref="L21:M21"/>
    <mergeCell ref="O21:P21"/>
    <mergeCell ref="L22:M22"/>
    <mergeCell ref="L23:M23"/>
    <mergeCell ref="L24:M24"/>
    <mergeCell ref="L25:M25"/>
    <mergeCell ref="L26:M26"/>
    <mergeCell ref="B15:B20"/>
    <mergeCell ref="L15:M15"/>
    <mergeCell ref="O15:P15"/>
    <mergeCell ref="L16:M16"/>
    <mergeCell ref="L17:M17"/>
    <mergeCell ref="L18:M18"/>
    <mergeCell ref="L19:M19"/>
    <mergeCell ref="L20:M20"/>
    <mergeCell ref="B9:B14"/>
    <mergeCell ref="L9:M9"/>
    <mergeCell ref="O9:P9"/>
    <mergeCell ref="L10:M10"/>
    <mergeCell ref="L11:M11"/>
    <mergeCell ref="L12:M12"/>
    <mergeCell ref="L13:M13"/>
    <mergeCell ref="L14:M14"/>
    <mergeCell ref="B3:B8"/>
    <mergeCell ref="L3:M3"/>
    <mergeCell ref="O3:P3"/>
    <mergeCell ref="L4:M4"/>
    <mergeCell ref="L5:M5"/>
    <mergeCell ref="L6:M6"/>
    <mergeCell ref="L7:M7"/>
    <mergeCell ref="L8:M8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366" priority="51" stopIfTrue="1" operator="equal">
      <formula>#REF!</formula>
    </cfRule>
  </conditionalFormatting>
  <conditionalFormatting sqref="M54:N54">
    <cfRule type="expression" dxfId="365" priority="50">
      <formula>$H$14="penaltis"</formula>
    </cfRule>
  </conditionalFormatting>
  <conditionalFormatting sqref="L55:N55">
    <cfRule type="expression" dxfId="364" priority="49">
      <formula>$H$15="penaltis"</formula>
    </cfRule>
  </conditionalFormatting>
  <conditionalFormatting sqref="L56:N56">
    <cfRule type="expression" dxfId="363" priority="48">
      <formula>$H$16="penaltis"</formula>
    </cfRule>
  </conditionalFormatting>
  <conditionalFormatting sqref="L57:N57">
    <cfRule type="expression" dxfId="362" priority="47">
      <formula>$H$17="penaltis"</formula>
    </cfRule>
  </conditionalFormatting>
  <conditionalFormatting sqref="L58:N58">
    <cfRule type="expression" dxfId="361" priority="46">
      <formula>$H$18="penaltis"</formula>
    </cfRule>
  </conditionalFormatting>
  <conditionalFormatting sqref="L59:N59">
    <cfRule type="expression" dxfId="360" priority="45">
      <formula>$H$19="penaltis"</formula>
    </cfRule>
  </conditionalFormatting>
  <conditionalFormatting sqref="L60:N60">
    <cfRule type="expression" dxfId="359" priority="44">
      <formula>$H$20="penaltis"</formula>
    </cfRule>
  </conditionalFormatting>
  <conditionalFormatting sqref="L61:N61">
    <cfRule type="expression" dxfId="358" priority="43">
      <formula>$H$21="penaltis"</formula>
    </cfRule>
  </conditionalFormatting>
  <conditionalFormatting sqref="N63">
    <cfRule type="expression" dxfId="357" priority="42">
      <formula>$H$23="penaltis"</formula>
    </cfRule>
  </conditionalFormatting>
  <conditionalFormatting sqref="N64">
    <cfRule type="expression" dxfId="356" priority="41" stopIfTrue="1">
      <formula>$H$24="penaltis"</formula>
    </cfRule>
  </conditionalFormatting>
  <conditionalFormatting sqref="N65">
    <cfRule type="expression" dxfId="355" priority="40" stopIfTrue="1">
      <formula>$H$25="penaltis"</formula>
    </cfRule>
  </conditionalFormatting>
  <conditionalFormatting sqref="N66">
    <cfRule type="expression" dxfId="354" priority="39" stopIfTrue="1">
      <formula>$H$26="penaltis"</formula>
    </cfRule>
  </conditionalFormatting>
  <conditionalFormatting sqref="N68">
    <cfRule type="expression" dxfId="353" priority="38" stopIfTrue="1">
      <formula>$H$28="penaltis"</formula>
    </cfRule>
  </conditionalFormatting>
  <conditionalFormatting sqref="N69">
    <cfRule type="expression" dxfId="352" priority="37" stopIfTrue="1">
      <formula>$H$29="penaltis"</formula>
    </cfRule>
  </conditionalFormatting>
  <conditionalFormatting sqref="N71">
    <cfRule type="expression" dxfId="351" priority="36" stopIfTrue="1">
      <formula>$H$31="penaltis"</formula>
    </cfRule>
  </conditionalFormatting>
  <conditionalFormatting sqref="N73">
    <cfRule type="expression" dxfId="350" priority="35" stopIfTrue="1">
      <formula>$H$33="penaltis"</formula>
    </cfRule>
  </conditionalFormatting>
  <conditionalFormatting sqref="L54:M54">
    <cfRule type="expression" dxfId="349" priority="34" stopIfTrue="1">
      <formula>$K$54="penaltis"</formula>
    </cfRule>
  </conditionalFormatting>
  <conditionalFormatting sqref="L55:M55">
    <cfRule type="expression" dxfId="348" priority="33" stopIfTrue="1">
      <formula>$K$55="penaltis"</formula>
    </cfRule>
  </conditionalFormatting>
  <conditionalFormatting sqref="L56:M56">
    <cfRule type="expression" dxfId="347" priority="32" stopIfTrue="1">
      <formula>$K$56="penaltis"</formula>
    </cfRule>
  </conditionalFormatting>
  <conditionalFormatting sqref="L57:M57">
    <cfRule type="expression" dxfId="346" priority="31" stopIfTrue="1">
      <formula>$K$57="penaltis"</formula>
    </cfRule>
  </conditionalFormatting>
  <conditionalFormatting sqref="L58:M58">
    <cfRule type="expression" dxfId="345" priority="30" stopIfTrue="1">
      <formula>$K$58="penaltis"</formula>
    </cfRule>
  </conditionalFormatting>
  <conditionalFormatting sqref="L59:M59">
    <cfRule type="expression" dxfId="344" priority="29" stopIfTrue="1">
      <formula>$K$59="penaltis"</formula>
    </cfRule>
  </conditionalFormatting>
  <conditionalFormatting sqref="L60:M60">
    <cfRule type="expression" dxfId="343" priority="28" stopIfTrue="1">
      <formula>$K$60="penaltis"</formula>
    </cfRule>
  </conditionalFormatting>
  <conditionalFormatting sqref="L61:M61">
    <cfRule type="expression" dxfId="342" priority="27" stopIfTrue="1">
      <formula>$K$61="penaltis"</formula>
    </cfRule>
  </conditionalFormatting>
  <conditionalFormatting sqref="L63:M63">
    <cfRule type="expression" dxfId="341" priority="26">
      <formula>$K$63="penaltis"</formula>
    </cfRule>
  </conditionalFormatting>
  <conditionalFormatting sqref="L64:M64">
    <cfRule type="expression" dxfId="340" priority="25">
      <formula>$K$64="penaltis"</formula>
    </cfRule>
  </conditionalFormatting>
  <conditionalFormatting sqref="L65:M65">
    <cfRule type="expression" dxfId="339" priority="24">
      <formula>$K$65="penaltis"</formula>
    </cfRule>
  </conditionalFormatting>
  <conditionalFormatting sqref="L66:M66">
    <cfRule type="expression" dxfId="338" priority="23">
      <formula>$K$66="penaltis"</formula>
    </cfRule>
  </conditionalFormatting>
  <conditionalFormatting sqref="L68:M68">
    <cfRule type="expression" dxfId="337" priority="22">
      <formula>$K$68="penaltis"</formula>
    </cfRule>
  </conditionalFormatting>
  <conditionalFormatting sqref="L69:M69">
    <cfRule type="expression" dxfId="336" priority="21">
      <formula>$K$69="penaltis"</formula>
    </cfRule>
  </conditionalFormatting>
  <conditionalFormatting sqref="L71:M71">
    <cfRule type="expression" dxfId="335" priority="20">
      <formula>$K$71="penaltis"</formula>
    </cfRule>
  </conditionalFormatting>
  <conditionalFormatting sqref="L73:M73">
    <cfRule type="expression" dxfId="334" priority="19">
      <formula>$K$73="penaltis"</formula>
    </cfRule>
  </conditionalFormatting>
  <conditionalFormatting sqref="Q4:X5">
    <cfRule type="expression" dxfId="333" priority="18">
      <formula>$R$8=12</formula>
    </cfRule>
  </conditionalFormatting>
  <conditionalFormatting sqref="Q10:X11">
    <cfRule type="expression" dxfId="332" priority="17">
      <formula>$R$14=12</formula>
    </cfRule>
  </conditionalFormatting>
  <conditionalFormatting sqref="Q16:X17">
    <cfRule type="expression" dxfId="331" priority="16">
      <formula>$R$20=12</formula>
    </cfRule>
  </conditionalFormatting>
  <conditionalFormatting sqref="Q22:X23">
    <cfRule type="expression" dxfId="330" priority="15">
      <formula>$R$26=12</formula>
    </cfRule>
  </conditionalFormatting>
  <conditionalFormatting sqref="Q28:X29">
    <cfRule type="expression" dxfId="329" priority="14">
      <formula>$R$32=12</formula>
    </cfRule>
  </conditionalFormatting>
  <conditionalFormatting sqref="Q34:X35">
    <cfRule type="expression" dxfId="328" priority="13">
      <formula>$R$38=12</formula>
    </cfRule>
  </conditionalFormatting>
  <conditionalFormatting sqref="Q40:X41">
    <cfRule type="expression" dxfId="327" priority="12">
      <formula>$R$44=12</formula>
    </cfRule>
  </conditionalFormatting>
  <conditionalFormatting sqref="Q46:X47">
    <cfRule type="expression" dxfId="326" priority="11">
      <formula>$R$50=12</formula>
    </cfRule>
  </conditionalFormatting>
  <conditionalFormatting sqref="F62:J73 B45 B9 B15 B21 B27 B33 B3 F3:F50 J3:J50">
    <cfRule type="cellIs" dxfId="325" priority="52" stopIfTrue="1" operator="equal">
      <formula>#REF!</formula>
    </cfRule>
  </conditionalFormatting>
  <conditionalFormatting sqref="B39">
    <cfRule type="cellIs" dxfId="324" priority="10" stopIfTrue="1" operator="equal">
      <formula>#REF!</formula>
    </cfRule>
  </conditionalFormatting>
  <conditionalFormatting sqref="F54:J61">
    <cfRule type="cellIs" dxfId="323" priority="9" stopIfTrue="1" operator="equal">
      <formula>$Z$7</formula>
    </cfRule>
  </conditionalFormatting>
  <conditionalFormatting sqref="O4:P5">
    <cfRule type="expression" dxfId="322" priority="8">
      <formula>$R$16=12</formula>
    </cfRule>
  </conditionalFormatting>
  <conditionalFormatting sqref="O10:P11">
    <cfRule type="expression" dxfId="321" priority="7">
      <formula>$R$22=12</formula>
    </cfRule>
  </conditionalFormatting>
  <conditionalFormatting sqref="O16:P17">
    <cfRule type="expression" dxfId="320" priority="6">
      <formula>$R$28=12</formula>
    </cfRule>
  </conditionalFormatting>
  <conditionalFormatting sqref="O22:P23">
    <cfRule type="expression" dxfId="319" priority="5">
      <formula>$R$34=12</formula>
    </cfRule>
  </conditionalFormatting>
  <conditionalFormatting sqref="O28:P29">
    <cfRule type="expression" dxfId="318" priority="4">
      <formula>$R$40=12</formula>
    </cfRule>
  </conditionalFormatting>
  <conditionalFormatting sqref="O34:P35">
    <cfRule type="expression" dxfId="317" priority="3">
      <formula>$R$46=12</formula>
    </cfRule>
  </conditionalFormatting>
  <conditionalFormatting sqref="O40:P41">
    <cfRule type="expression" dxfId="316" priority="2">
      <formula>$R$52=12</formula>
    </cfRule>
  </conditionalFormatting>
  <conditionalFormatting sqref="O46:P47">
    <cfRule type="expression" dxfId="315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 xr:uid="{00000000-0002-0000-0E00-000000000000}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A1:HW117"/>
  <sheetViews>
    <sheetView workbookViewId="0">
      <selection activeCell="F3" sqref="F3:J50"/>
    </sheetView>
  </sheetViews>
  <sheetFormatPr defaultColWidth="0" defaultRowHeight="0" customHeight="1" zeroHeight="1" x14ac:dyDescent="0.2"/>
  <cols>
    <col min="1" max="1" width="6.3203125" customWidth="1"/>
    <col min="2" max="2" width="6.05078125" style="5" bestFit="1" customWidth="1"/>
    <col min="3" max="3" width="9.81640625" style="10" bestFit="1" customWidth="1"/>
    <col min="4" max="4" width="5.24609375" style="10" bestFit="1" customWidth="1"/>
    <col min="5" max="5" width="17.75390625" style="10" bestFit="1" customWidth="1"/>
    <col min="6" max="6" width="25.69140625" style="11" customWidth="1"/>
    <col min="7" max="7" width="2.6875" style="42" customWidth="1"/>
    <col min="8" max="8" width="2.6875" customWidth="1"/>
    <col min="9" max="9" width="2.6875" style="42" customWidth="1"/>
    <col min="10" max="10" width="25.69140625" style="12" customWidth="1"/>
    <col min="11" max="11" width="13.31640625" style="51" hidden="1" customWidth="1"/>
    <col min="12" max="13" width="3.2265625" customWidth="1"/>
    <col min="14" max="14" width="2.82421875" style="1" customWidth="1"/>
    <col min="15" max="15" width="2.015625" style="109" bestFit="1" customWidth="1"/>
    <col min="16" max="16" width="26.09765625" style="113" customWidth="1"/>
    <col min="17" max="17" width="4.70703125" style="322" customWidth="1"/>
    <col min="18" max="18" width="3.765625" style="322" customWidth="1"/>
    <col min="19" max="19" width="1.8828125" style="322" customWidth="1"/>
    <col min="20" max="20" width="2.28515625" style="322" customWidth="1"/>
    <col min="21" max="21" width="3.765625" style="322" customWidth="1"/>
    <col min="22" max="22" width="2.015625" style="322" customWidth="1"/>
    <col min="23" max="24" width="3.765625" style="322" hidden="1" customWidth="1"/>
    <col min="25" max="25" width="12.9140625" style="1" customWidth="1"/>
    <col min="26" max="36" width="9.14453125" hidden="1" customWidth="1"/>
    <col min="37" max="37" width="8.47265625" hidden="1" customWidth="1"/>
    <col min="38" max="38" width="8.7421875" hidden="1" customWidth="1"/>
    <col min="39" max="39" width="10.0859375" hidden="1" customWidth="1"/>
    <col min="40" max="230" width="9.14453125" hidden="1" customWidth="1"/>
    <col min="231" max="231" width="7.26171875" hidden="1" customWidth="1"/>
    <col min="232" max="16384" width="9.14453125" hidden="1"/>
  </cols>
  <sheetData>
    <row r="1" spans="1:25" s="58" customFormat="1" ht="15" customHeight="1" x14ac:dyDescent="0.2">
      <c r="B1" s="496" t="s">
        <v>94</v>
      </c>
      <c r="C1" s="498" t="s">
        <v>95</v>
      </c>
      <c r="D1" s="498" t="s">
        <v>74</v>
      </c>
      <c r="E1" s="500" t="s">
        <v>75</v>
      </c>
      <c r="F1" s="487" t="s">
        <v>96</v>
      </c>
      <c r="G1" s="488"/>
      <c r="H1" s="488"/>
      <c r="I1" s="488"/>
      <c r="J1" s="489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 x14ac:dyDescent="0.25">
      <c r="B2" s="497"/>
      <c r="C2" s="499"/>
      <c r="D2" s="499"/>
      <c r="E2" s="501"/>
      <c r="F2" s="490"/>
      <c r="G2" s="491"/>
      <c r="H2" s="491"/>
      <c r="I2" s="491"/>
      <c r="J2" s="492"/>
      <c r="K2" s="51"/>
      <c r="L2" s="493"/>
      <c r="M2" s="494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 x14ac:dyDescent="0.25">
      <c r="A3" s="60" t="s">
        <v>284</v>
      </c>
      <c r="B3" s="48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74">
        <v>0</v>
      </c>
      <c r="H3" s="356" t="s">
        <v>0</v>
      </c>
      <c r="I3" s="386">
        <v>2</v>
      </c>
      <c r="J3" s="77" t="s">
        <v>142</v>
      </c>
      <c r="K3" s="52"/>
      <c r="L3" s="495">
        <f>IF(OR(Copa2022!F11="",G3=""),"",
IF(AND(Copa2022!F11=G3,Copa2022!H11=I3),Regras!$J$25,IF(Y3=Regras!F25,Regras!$J$26,0)))</f>
        <v>10</v>
      </c>
      <c r="M3" s="495"/>
      <c r="N3" s="318"/>
      <c r="O3" s="502" t="s">
        <v>220</v>
      </c>
      <c r="P3" s="526"/>
      <c r="Q3" s="324" t="str">
        <f>IF(Copa2022!F16="","",IF(Copa2022!O12=Adalberto!P4,Regras!$J$27,0))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 x14ac:dyDescent="0.2">
      <c r="A4" s="60" t="s">
        <v>285</v>
      </c>
      <c r="B4" s="485"/>
      <c r="C4" s="171">
        <v>44886</v>
      </c>
      <c r="D4" s="194" t="s">
        <v>134</v>
      </c>
      <c r="E4" s="172" t="s">
        <v>157</v>
      </c>
      <c r="F4" s="78" t="s">
        <v>131</v>
      </c>
      <c r="G4" s="375">
        <v>1</v>
      </c>
      <c r="H4" s="358" t="s">
        <v>0</v>
      </c>
      <c r="I4" s="387">
        <v>3</v>
      </c>
      <c r="J4" s="81" t="s">
        <v>140</v>
      </c>
      <c r="K4" s="52"/>
      <c r="L4" s="495">
        <f>IF(OR(Copa2022!F12="",G4=""),"",
IF(AND(Copa2022!F12=G4,Copa2022!H12=I4),Regras!$J$25,IF(Y4=Regras!F26,Regras!$J$26,0)))</f>
        <v>5</v>
      </c>
      <c r="M4" s="495"/>
      <c r="N4" s="318"/>
      <c r="O4" s="378">
        <v>1</v>
      </c>
      <c r="P4" s="377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 x14ac:dyDescent="0.25">
      <c r="A5" s="60" t="s">
        <v>286</v>
      </c>
      <c r="B5" s="485"/>
      <c r="C5" s="171">
        <v>44890</v>
      </c>
      <c r="D5" s="194" t="s">
        <v>135</v>
      </c>
      <c r="E5" s="172" t="s">
        <v>157</v>
      </c>
      <c r="F5" s="78" t="s">
        <v>141</v>
      </c>
      <c r="G5" s="375">
        <v>0</v>
      </c>
      <c r="H5" s="358" t="s">
        <v>0</v>
      </c>
      <c r="I5" s="387">
        <v>2</v>
      </c>
      <c r="J5" s="81" t="s">
        <v>131</v>
      </c>
      <c r="K5" s="52"/>
      <c r="L5" s="495" t="str">
        <f>IF(OR(Copa2022!F13="",G5=""),"",
IF(AND(Copa2022!F13=G5,Copa2022!H13=I5),Regras!$J$25,IF(Y5=Regras!F27,Regras!$J$26,0)))</f>
        <v/>
      </c>
      <c r="M5" s="495"/>
      <c r="N5" s="318"/>
      <c r="O5" s="381">
        <v>2</v>
      </c>
      <c r="P5" s="382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 x14ac:dyDescent="0.2">
      <c r="A6" s="60" t="s">
        <v>287</v>
      </c>
      <c r="B6" s="485"/>
      <c r="C6" s="171">
        <v>44890</v>
      </c>
      <c r="D6" s="194" t="s">
        <v>134</v>
      </c>
      <c r="E6" s="172" t="s">
        <v>143</v>
      </c>
      <c r="F6" s="78" t="s">
        <v>140</v>
      </c>
      <c r="G6" s="375">
        <v>3</v>
      </c>
      <c r="H6" s="358" t="s">
        <v>0</v>
      </c>
      <c r="I6" s="387">
        <v>1</v>
      </c>
      <c r="J6" s="81" t="s">
        <v>142</v>
      </c>
      <c r="K6" s="52"/>
      <c r="L6" s="495" t="str">
        <f>IF(OR(Copa2022!F14="",G6=""),"",
IF(AND(Copa2022!F14=G6,Copa2022!H14=I6),Regras!$J$25,IF(Y6=Regras!F28,Regras!$J$26,0)))</f>
        <v/>
      </c>
      <c r="M6" s="495"/>
      <c r="N6" s="318"/>
      <c r="O6" s="378" t="s">
        <v>105</v>
      </c>
      <c r="P6" s="377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 x14ac:dyDescent="0.25">
      <c r="A7" s="60" t="s">
        <v>288</v>
      </c>
      <c r="B7" s="485"/>
      <c r="C7" s="171">
        <v>44894</v>
      </c>
      <c r="D7" s="194" t="s">
        <v>132</v>
      </c>
      <c r="E7" s="172" t="s">
        <v>161</v>
      </c>
      <c r="F7" s="78" t="s">
        <v>140</v>
      </c>
      <c r="G7" s="375">
        <v>4</v>
      </c>
      <c r="H7" s="358" t="s">
        <v>0</v>
      </c>
      <c r="I7" s="387">
        <v>0</v>
      </c>
      <c r="J7" s="81" t="s">
        <v>141</v>
      </c>
      <c r="K7" s="52"/>
      <c r="L7" s="495" t="str">
        <f>IF(OR(Copa2022!F15="",G7=""),"",
IF(AND(Copa2022!F15=G7,Copa2022!H15=I7),Regras!$J$25,IF(Y7=Regras!F29,Regras!$J$26,0)))</f>
        <v/>
      </c>
      <c r="M7" s="495"/>
      <c r="N7" s="318"/>
      <c r="O7" s="379">
        <v>4</v>
      </c>
      <c r="P7" s="380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 x14ac:dyDescent="0.25">
      <c r="A8" s="60" t="s">
        <v>289</v>
      </c>
      <c r="B8" s="486"/>
      <c r="C8" s="173">
        <v>44590</v>
      </c>
      <c r="D8" s="195" t="s">
        <v>132</v>
      </c>
      <c r="E8" s="174" t="s">
        <v>143</v>
      </c>
      <c r="F8" s="86" t="s">
        <v>142</v>
      </c>
      <c r="G8" s="376">
        <v>1</v>
      </c>
      <c r="H8" s="362" t="s">
        <v>0</v>
      </c>
      <c r="I8" s="388">
        <v>1</v>
      </c>
      <c r="J8" s="89" t="s">
        <v>131</v>
      </c>
      <c r="K8" s="52"/>
      <c r="L8" s="495" t="str">
        <f>IF(OR(Copa2022!F16="",G8=""),"",
IF(AND(Copa2022!F16=G8,Copa2022!H16=I8),Regras!$J$25,IF(Y8=Regras!F30,Regras!$J$26,0)))</f>
        <v/>
      </c>
      <c r="M8" s="495"/>
      <c r="N8" s="318"/>
      <c r="O8" s="385"/>
      <c r="P8" s="38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 x14ac:dyDescent="0.25">
      <c r="A9" s="60" t="s">
        <v>290</v>
      </c>
      <c r="B9" s="48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59">
        <v>5</v>
      </c>
      <c r="H9" s="360" t="s">
        <v>0</v>
      </c>
      <c r="I9" s="368">
        <v>0</v>
      </c>
      <c r="J9" s="85" t="s">
        <v>123</v>
      </c>
      <c r="K9" s="52"/>
      <c r="L9" s="495">
        <f>IF(OR(Copa2022!F17="",G9=""),"",
IF(AND(Copa2022!F17=G9,Copa2022!H17=I9),Regras!$J$25,IF(Y9=Regras!F31,Regras!$J$26,0)))</f>
        <v>5</v>
      </c>
      <c r="M9" s="495"/>
      <c r="N9" s="318"/>
      <c r="O9" s="502" t="s">
        <v>48</v>
      </c>
      <c r="P9" s="503"/>
      <c r="Q9" s="324" t="str">
        <f>IF(Copa2022!F22="","",IF(Copa2022!O18=Adalberto!P10,Regras!$J$27,0))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 x14ac:dyDescent="0.2">
      <c r="A10" s="60" t="s">
        <v>291</v>
      </c>
      <c r="B10" s="485"/>
      <c r="C10" s="171">
        <v>44886</v>
      </c>
      <c r="D10" s="194" t="s">
        <v>136</v>
      </c>
      <c r="E10" s="177" t="s">
        <v>162</v>
      </c>
      <c r="F10" s="78" t="s">
        <v>145</v>
      </c>
      <c r="G10" s="375">
        <v>1</v>
      </c>
      <c r="H10" s="358" t="s">
        <v>0</v>
      </c>
      <c r="I10" s="387">
        <v>1</v>
      </c>
      <c r="J10" s="81" t="s">
        <v>158</v>
      </c>
      <c r="K10" s="52"/>
      <c r="L10" s="495">
        <f>IF(OR(Copa2022!F18="",G10=""),"",
IF(AND(Copa2022!F18=G10,Copa2022!H18=I10),Regras!$J$25,IF(Y10=Regras!F32,Regras!$J$26,0)))</f>
        <v>10</v>
      </c>
      <c r="M10" s="495"/>
      <c r="N10" s="318"/>
      <c r="O10" s="378">
        <v>1</v>
      </c>
      <c r="P10" s="377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empate</v>
      </c>
    </row>
    <row r="11" spans="1:25" s="60" customFormat="1" ht="35.1" customHeight="1" thickBot="1" x14ac:dyDescent="0.25">
      <c r="A11" s="60" t="s">
        <v>292</v>
      </c>
      <c r="B11" s="485"/>
      <c r="C11" s="171">
        <v>44890</v>
      </c>
      <c r="D11" s="194" t="s">
        <v>133</v>
      </c>
      <c r="E11" s="177" t="s">
        <v>162</v>
      </c>
      <c r="F11" s="78" t="s">
        <v>158</v>
      </c>
      <c r="G11" s="375">
        <v>0</v>
      </c>
      <c r="H11" s="358" t="s">
        <v>0</v>
      </c>
      <c r="I11" s="387">
        <v>0</v>
      </c>
      <c r="J11" s="81" t="s">
        <v>123</v>
      </c>
      <c r="K11" s="52"/>
      <c r="L11" s="495" t="str">
        <f>IF(OR(Copa2022!F19="",G11=""),"",
IF(AND(Copa2022!F19=G11,Copa2022!H19=I11),Regras!$J$25,IF(Y11=Regras!F33,Regras!$J$26,0)))</f>
        <v/>
      </c>
      <c r="M11" s="495"/>
      <c r="N11" s="318"/>
      <c r="O11" s="381">
        <v>2</v>
      </c>
      <c r="P11" s="382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 x14ac:dyDescent="0.2">
      <c r="A12" s="60" t="s">
        <v>293</v>
      </c>
      <c r="B12" s="485"/>
      <c r="C12" s="171">
        <v>44890</v>
      </c>
      <c r="D12" s="194" t="s">
        <v>136</v>
      </c>
      <c r="E12" s="177" t="s">
        <v>161</v>
      </c>
      <c r="F12" s="78" t="s">
        <v>6</v>
      </c>
      <c r="G12" s="375">
        <v>3</v>
      </c>
      <c r="H12" s="358" t="s">
        <v>0</v>
      </c>
      <c r="I12" s="387">
        <v>0</v>
      </c>
      <c r="J12" s="81" t="s">
        <v>145</v>
      </c>
      <c r="K12" s="52"/>
      <c r="L12" s="495" t="str">
        <f>IF(OR(Copa2022!F20="",G12=""),"",
IF(AND(Copa2022!F20=G12,Copa2022!H20=I12),Regras!$J$25,IF(Y12=Regras!F34,Regras!$J$26,0)))</f>
        <v/>
      </c>
      <c r="M12" s="495"/>
      <c r="N12" s="318"/>
      <c r="O12" s="378">
        <v>3</v>
      </c>
      <c r="P12" s="377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 x14ac:dyDescent="0.25">
      <c r="A13" s="60" t="s">
        <v>294</v>
      </c>
      <c r="B13" s="485"/>
      <c r="C13" s="171">
        <v>44894</v>
      </c>
      <c r="D13" s="194" t="s">
        <v>136</v>
      </c>
      <c r="E13" s="177" t="s">
        <v>162</v>
      </c>
      <c r="F13" s="78" t="s">
        <v>158</v>
      </c>
      <c r="G13" s="375">
        <v>0</v>
      </c>
      <c r="H13" s="358" t="s">
        <v>0</v>
      </c>
      <c r="I13" s="387">
        <v>4</v>
      </c>
      <c r="J13" s="81" t="s">
        <v>6</v>
      </c>
      <c r="K13" s="52"/>
      <c r="L13" s="495" t="str">
        <f>IF(OR(Copa2022!F21="",G13=""),"",
IF(AND(Copa2022!F21=G13,Copa2022!H21=I13),Regras!$J$25,IF(Y13=Regras!F35,Regras!$J$26,0)))</f>
        <v/>
      </c>
      <c r="M13" s="495"/>
      <c r="N13" s="318"/>
      <c r="O13" s="379">
        <v>4</v>
      </c>
      <c r="P13" s="380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 x14ac:dyDescent="0.25">
      <c r="A14" s="60" t="s">
        <v>295</v>
      </c>
      <c r="B14" s="486"/>
      <c r="C14" s="173">
        <v>44894</v>
      </c>
      <c r="D14" s="195" t="s">
        <v>136</v>
      </c>
      <c r="E14" s="178" t="s">
        <v>157</v>
      </c>
      <c r="F14" s="90" t="s">
        <v>123</v>
      </c>
      <c r="G14" s="363">
        <v>1</v>
      </c>
      <c r="H14" s="364" t="s">
        <v>0</v>
      </c>
      <c r="I14" s="369">
        <v>1</v>
      </c>
      <c r="J14" s="93" t="s">
        <v>145</v>
      </c>
      <c r="K14" s="52"/>
      <c r="L14" s="495" t="str">
        <f>IF(OR(Copa2022!F22="",G14=""),"",
IF(AND(Copa2022!F22=G14,Copa2022!H22=I14),Regras!$J$25,IF(Y14=Regras!F36,Regras!$J$26,0)))</f>
        <v/>
      </c>
      <c r="M14" s="495"/>
      <c r="N14" s="318"/>
      <c r="O14" s="373"/>
      <c r="P14" s="377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 x14ac:dyDescent="0.25">
      <c r="A15" s="60" t="s">
        <v>296</v>
      </c>
      <c r="B15" s="48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74">
        <v>2</v>
      </c>
      <c r="H15" s="356" t="s">
        <v>0</v>
      </c>
      <c r="I15" s="386">
        <v>0</v>
      </c>
      <c r="J15" s="77" t="s">
        <v>125</v>
      </c>
      <c r="K15" s="52"/>
      <c r="L15" s="495">
        <f>IF(OR(Copa2022!F23="",G15=""),"",
IF(AND(Copa2022!F23=G15,Copa2022!H23=I15),Regras!$J$25,IF(Y15=Regras!F37,Regras!$J$26,0)))</f>
        <v>0</v>
      </c>
      <c r="M15" s="495"/>
      <c r="N15" s="318"/>
      <c r="O15" s="502" t="s">
        <v>50</v>
      </c>
      <c r="P15" s="503"/>
      <c r="Q15" s="324" t="str">
        <f>IF(Copa2022!F28="","",IF(Copa2022!O24=Adalberto!P16,Regras!$J$27,0))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 x14ac:dyDescent="0.2">
      <c r="A16" s="60" t="s">
        <v>297</v>
      </c>
      <c r="B16" s="485"/>
      <c r="C16" s="171">
        <v>44887</v>
      </c>
      <c r="D16" s="194" t="s">
        <v>134</v>
      </c>
      <c r="E16" s="172" t="s">
        <v>163</v>
      </c>
      <c r="F16" s="78" t="s">
        <v>1</v>
      </c>
      <c r="G16" s="375">
        <v>1</v>
      </c>
      <c r="H16" s="358" t="s">
        <v>0</v>
      </c>
      <c r="I16" s="387">
        <v>3</v>
      </c>
      <c r="J16" s="81" t="s">
        <v>130</v>
      </c>
      <c r="K16" s="52"/>
      <c r="L16" s="495">
        <f>IF(OR(Copa2022!F24="",G16=""),"",
IF(AND(Copa2022!F24=G16,Copa2022!H24=I16),Regras!$J$25,IF(Y16=Regras!F38,Regras!$J$26,0)))</f>
        <v>0</v>
      </c>
      <c r="M16" s="495"/>
      <c r="N16" s="318"/>
      <c r="O16" s="378">
        <v>1</v>
      </c>
      <c r="P16" s="377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Polônia</v>
      </c>
    </row>
    <row r="17" spans="1:25" s="60" customFormat="1" ht="35.1" customHeight="1" thickBot="1" x14ac:dyDescent="0.25">
      <c r="A17" s="60" t="s">
        <v>298</v>
      </c>
      <c r="B17" s="485"/>
      <c r="C17" s="171">
        <v>44891</v>
      </c>
      <c r="D17" s="194" t="s">
        <v>135</v>
      </c>
      <c r="E17" s="172" t="s">
        <v>148</v>
      </c>
      <c r="F17" s="78" t="s">
        <v>130</v>
      </c>
      <c r="G17" s="375">
        <v>4</v>
      </c>
      <c r="H17" s="358" t="s">
        <v>0</v>
      </c>
      <c r="I17" s="387">
        <v>2</v>
      </c>
      <c r="J17" s="81" t="s">
        <v>125</v>
      </c>
      <c r="K17" s="52"/>
      <c r="L17" s="495" t="str">
        <f>IF(OR(Copa2022!F25="",G17=""),"",
IF(AND(Copa2022!F25=G17,Copa2022!H25=I17),Regras!$J$25,IF(Y17=Regras!F39,Regras!$J$26,0)))</f>
        <v/>
      </c>
      <c r="M17" s="495"/>
      <c r="N17" s="318"/>
      <c r="O17" s="381">
        <v>2</v>
      </c>
      <c r="P17" s="382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 x14ac:dyDescent="0.2">
      <c r="A18" s="60" t="s">
        <v>299</v>
      </c>
      <c r="B18" s="485"/>
      <c r="C18" s="171">
        <v>44891</v>
      </c>
      <c r="D18" s="194" t="s">
        <v>136</v>
      </c>
      <c r="E18" s="172" t="s">
        <v>146</v>
      </c>
      <c r="F18" s="78" t="s">
        <v>4</v>
      </c>
      <c r="G18" s="375">
        <v>3</v>
      </c>
      <c r="H18" s="358" t="s">
        <v>0</v>
      </c>
      <c r="I18" s="387">
        <v>2</v>
      </c>
      <c r="J18" s="81" t="s">
        <v>1</v>
      </c>
      <c r="K18" s="52"/>
      <c r="L18" s="495" t="str">
        <f>IF(OR(Copa2022!F26="",G18=""),"",
IF(AND(Copa2022!F26=G18,Copa2022!H26=I18),Regras!$J$25,IF(Y18=Regras!F40,Regras!$J$26,0)))</f>
        <v/>
      </c>
      <c r="M18" s="495"/>
      <c r="N18" s="318"/>
      <c r="O18" s="378">
        <v>3</v>
      </c>
      <c r="P18" s="377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 x14ac:dyDescent="0.25">
      <c r="A19" s="60" t="s">
        <v>300</v>
      </c>
      <c r="B19" s="485"/>
      <c r="C19" s="171">
        <v>44895</v>
      </c>
      <c r="D19" s="194" t="s">
        <v>136</v>
      </c>
      <c r="E19" s="172" t="s">
        <v>163</v>
      </c>
      <c r="F19" s="78" t="s">
        <v>130</v>
      </c>
      <c r="G19" s="375">
        <v>1</v>
      </c>
      <c r="H19" s="358" t="s">
        <v>0</v>
      </c>
      <c r="I19" s="387">
        <v>3</v>
      </c>
      <c r="J19" s="81" t="s">
        <v>4</v>
      </c>
      <c r="K19" s="52"/>
      <c r="L19" s="495" t="str">
        <f>IF(OR(Copa2022!F27="",G19=""),"",
IF(AND(Copa2022!F27=G19,Copa2022!H27=I19),Regras!$J$25,IF(Y19=Regras!F41,Regras!$J$26,0)))</f>
        <v/>
      </c>
      <c r="M19" s="495"/>
      <c r="N19" s="318"/>
      <c r="O19" s="379">
        <v>4</v>
      </c>
      <c r="P19" s="380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 x14ac:dyDescent="0.25">
      <c r="A20" s="60" t="s">
        <v>301</v>
      </c>
      <c r="B20" s="486"/>
      <c r="C20" s="173">
        <v>44895</v>
      </c>
      <c r="D20" s="195" t="s">
        <v>136</v>
      </c>
      <c r="E20" s="174" t="s">
        <v>146</v>
      </c>
      <c r="F20" s="86" t="s">
        <v>125</v>
      </c>
      <c r="G20" s="376">
        <v>1</v>
      </c>
      <c r="H20" s="362" t="s">
        <v>0</v>
      </c>
      <c r="I20" s="388">
        <v>2</v>
      </c>
      <c r="J20" s="89" t="s">
        <v>1</v>
      </c>
      <c r="K20" s="52"/>
      <c r="L20" s="495" t="str">
        <f>IF(OR(Copa2022!F28="",G20=""),"",
IF(AND(Copa2022!F28=G20,Copa2022!H28=I20),Regras!$J$25,IF(Y20=Regras!F42,Regras!$J$26,0)))</f>
        <v/>
      </c>
      <c r="M20" s="495"/>
      <c r="N20" s="318"/>
      <c r="O20" s="373"/>
      <c r="P20" s="377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 x14ac:dyDescent="0.25">
      <c r="A21" s="60" t="s">
        <v>302</v>
      </c>
      <c r="B21" s="48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59">
        <v>1</v>
      </c>
      <c r="H21" s="360" t="s">
        <v>0</v>
      </c>
      <c r="I21" s="368">
        <v>0</v>
      </c>
      <c r="J21" s="85" t="s">
        <v>129</v>
      </c>
      <c r="K21" s="52"/>
      <c r="L21" s="495">
        <f>IF(OR(Copa2022!F29="",G21=""),"",
IF(AND(Copa2022!F29=G21,Copa2022!H29=I21),Regras!$J$25,IF(Y21=Regras!F43,Regras!$J$26,0)))</f>
        <v>0</v>
      </c>
      <c r="M21" s="495"/>
      <c r="N21" s="318"/>
      <c r="O21" s="502" t="s">
        <v>51</v>
      </c>
      <c r="P21" s="503"/>
      <c r="Q21" s="324" t="str">
        <f>IF(Copa2022!F34="","",IF(Copa2022!O30=Adalberto!P22,Regras!$J$27,0))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 x14ac:dyDescent="0.2">
      <c r="A22" s="60" t="s">
        <v>303</v>
      </c>
      <c r="B22" s="485"/>
      <c r="C22" s="171">
        <v>44887</v>
      </c>
      <c r="D22" s="194" t="s">
        <v>136</v>
      </c>
      <c r="E22" s="177" t="s">
        <v>164</v>
      </c>
      <c r="F22" s="78" t="s">
        <v>3</v>
      </c>
      <c r="G22" s="375">
        <v>3</v>
      </c>
      <c r="H22" s="358" t="s">
        <v>0</v>
      </c>
      <c r="I22" s="387">
        <v>0</v>
      </c>
      <c r="J22" s="81" t="s">
        <v>159</v>
      </c>
      <c r="K22" s="52"/>
      <c r="L22" s="495">
        <f>IF(OR(Copa2022!F30="",G22=""),"",
IF(AND(Copa2022!F30=G22,Copa2022!H30=I22),Regras!$J$25,IF(Y22=Regras!F44,Regras!$J$26,0)))</f>
        <v>5</v>
      </c>
      <c r="M22" s="495"/>
      <c r="N22" s="318"/>
      <c r="O22" s="378">
        <v>1</v>
      </c>
      <c r="P22" s="377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 x14ac:dyDescent="0.25">
      <c r="A23" s="60" t="s">
        <v>304</v>
      </c>
      <c r="B23" s="485"/>
      <c r="C23" s="171">
        <v>44891</v>
      </c>
      <c r="D23" s="194" t="s">
        <v>133</v>
      </c>
      <c r="E23" s="177" t="s">
        <v>164</v>
      </c>
      <c r="F23" s="78" t="s">
        <v>129</v>
      </c>
      <c r="G23" s="375">
        <v>1</v>
      </c>
      <c r="H23" s="358" t="s">
        <v>0</v>
      </c>
      <c r="I23" s="387">
        <v>1</v>
      </c>
      <c r="J23" s="81" t="s">
        <v>159</v>
      </c>
      <c r="K23" s="52"/>
      <c r="L23" s="495" t="str">
        <f>IF(OR(Copa2022!F31="",G23=""),"",
IF(AND(Copa2022!F31=G23,Copa2022!H31=I23),Regras!$J$25,IF(Y23=Regras!F45,Regras!$J$26,0)))</f>
        <v/>
      </c>
      <c r="M23" s="495"/>
      <c r="N23" s="318"/>
      <c r="O23" s="381">
        <v>2</v>
      </c>
      <c r="P23" s="382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 x14ac:dyDescent="0.2">
      <c r="A24" s="60" t="s">
        <v>305</v>
      </c>
      <c r="B24" s="485"/>
      <c r="C24" s="171">
        <v>44891</v>
      </c>
      <c r="D24" s="194" t="s">
        <v>134</v>
      </c>
      <c r="E24" s="177" t="s">
        <v>163</v>
      </c>
      <c r="F24" s="78" t="s">
        <v>3</v>
      </c>
      <c r="G24" s="375">
        <v>2</v>
      </c>
      <c r="H24" s="358" t="s">
        <v>0</v>
      </c>
      <c r="I24" s="387">
        <v>0</v>
      </c>
      <c r="J24" s="81" t="s">
        <v>127</v>
      </c>
      <c r="K24" s="52"/>
      <c r="L24" s="495" t="str">
        <f>IF(OR(Copa2022!F32="",G24=""),"",
IF(AND(Copa2022!F32=G24,Copa2022!H32=I24),Regras!$J$25,IF(Y24=Regras!F46,Regras!$J$26,0)))</f>
        <v/>
      </c>
      <c r="M24" s="495"/>
      <c r="N24" s="318"/>
      <c r="O24" s="378">
        <v>3</v>
      </c>
      <c r="P24" s="377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 x14ac:dyDescent="0.25">
      <c r="A25" s="60" t="s">
        <v>306</v>
      </c>
      <c r="B25" s="485"/>
      <c r="C25" s="171">
        <v>44895</v>
      </c>
      <c r="D25" s="194" t="s">
        <v>132</v>
      </c>
      <c r="E25" s="177" t="s">
        <v>148</v>
      </c>
      <c r="F25" s="78" t="s">
        <v>129</v>
      </c>
      <c r="G25" s="375">
        <v>0</v>
      </c>
      <c r="H25" s="358" t="s">
        <v>0</v>
      </c>
      <c r="I25" s="387">
        <v>4</v>
      </c>
      <c r="J25" s="81" t="s">
        <v>3</v>
      </c>
      <c r="K25" s="52"/>
      <c r="L25" s="495" t="str">
        <f>IF(OR(Copa2022!F33="",G25=""),"",
IF(AND(Copa2022!F33=G25,Copa2022!H33=I25),Regras!$J$25,IF(Y25=Regras!F47,Regras!$J$26,0)))</f>
        <v/>
      </c>
      <c r="M25" s="495"/>
      <c r="N25" s="318"/>
      <c r="O25" s="379">
        <v>4</v>
      </c>
      <c r="P25" s="380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 x14ac:dyDescent="0.25">
      <c r="A26" s="60" t="s">
        <v>307</v>
      </c>
      <c r="B26" s="486"/>
      <c r="C26" s="173">
        <v>44895</v>
      </c>
      <c r="D26" s="195" t="s">
        <v>132</v>
      </c>
      <c r="E26" s="178" t="s">
        <v>164</v>
      </c>
      <c r="F26" s="90" t="s">
        <v>159</v>
      </c>
      <c r="G26" s="363">
        <v>1</v>
      </c>
      <c r="H26" s="364" t="s">
        <v>0</v>
      </c>
      <c r="I26" s="369">
        <v>2</v>
      </c>
      <c r="J26" s="93" t="s">
        <v>127</v>
      </c>
      <c r="K26" s="52"/>
      <c r="L26" s="495" t="str">
        <f>IF(OR(Copa2022!F34="",G26=""),"",
IF(AND(Copa2022!F34=G26,Copa2022!H34=I26),Regras!$J$25,IF(Y26=Regras!F48,Regras!$J$26,0)))</f>
        <v/>
      </c>
      <c r="M26" s="495"/>
      <c r="N26" s="318"/>
      <c r="O26" s="373"/>
      <c r="P26" s="377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 x14ac:dyDescent="0.25">
      <c r="A27" s="60" t="s">
        <v>308</v>
      </c>
      <c r="B27" s="48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74">
        <v>3</v>
      </c>
      <c r="H27" s="356" t="s">
        <v>0</v>
      </c>
      <c r="I27" s="386">
        <v>0</v>
      </c>
      <c r="J27" s="77" t="s">
        <v>8</v>
      </c>
      <c r="K27" s="52"/>
      <c r="L27" s="495" t="str">
        <f>IF(OR(Copa2022!F35="",G27=""),"",
IF(AND(Copa2022!F35=G27,Copa2022!H35=I27),Regras!$J$25,IF(Y27=Regras!F49,Regras!$J$26,0)))</f>
        <v/>
      </c>
      <c r="M27" s="495"/>
      <c r="N27" s="318"/>
      <c r="O27" s="502" t="s">
        <v>53</v>
      </c>
      <c r="P27" s="503"/>
      <c r="Q27" s="324" t="str">
        <f>IF(Copa2022!F40="","",IF(Copa2022!O36=Adalberto!P28,Regras!$J$27,0))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 x14ac:dyDescent="0.2">
      <c r="A28" s="60" t="s">
        <v>309</v>
      </c>
      <c r="B28" s="485"/>
      <c r="C28" s="171">
        <v>44888</v>
      </c>
      <c r="D28" s="194" t="s">
        <v>134</v>
      </c>
      <c r="E28" s="172" t="s">
        <v>157</v>
      </c>
      <c r="F28" s="78" t="s">
        <v>11</v>
      </c>
      <c r="G28" s="375">
        <v>4</v>
      </c>
      <c r="H28" s="358" t="s">
        <v>0</v>
      </c>
      <c r="I28" s="387">
        <v>1</v>
      </c>
      <c r="J28" s="81" t="s">
        <v>160</v>
      </c>
      <c r="K28" s="52"/>
      <c r="L28" s="495" t="str">
        <f>IF(OR(Copa2022!F36="",G28=""),"",
IF(AND(Copa2022!F36=G28,Copa2022!H36=I28),Regras!$J$25,IF(Y28=Regras!F50,Regras!$J$26,0)))</f>
        <v/>
      </c>
      <c r="M28" s="495"/>
      <c r="N28" s="318"/>
      <c r="O28" s="378">
        <v>1</v>
      </c>
      <c r="P28" s="377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 x14ac:dyDescent="0.25">
      <c r="A29" s="60" t="s">
        <v>310</v>
      </c>
      <c r="B29" s="485"/>
      <c r="C29" s="171">
        <v>44892</v>
      </c>
      <c r="D29" s="194" t="s">
        <v>133</v>
      </c>
      <c r="E29" s="172" t="s">
        <v>162</v>
      </c>
      <c r="F29" s="78" t="s">
        <v>8</v>
      </c>
      <c r="G29" s="375">
        <v>1</v>
      </c>
      <c r="H29" s="358" t="s">
        <v>0</v>
      </c>
      <c r="I29" s="387">
        <v>0</v>
      </c>
      <c r="J29" s="81" t="s">
        <v>160</v>
      </c>
      <c r="K29" s="52"/>
      <c r="L29" s="495" t="str">
        <f>IF(OR(Copa2022!F37="",G29=""),"",
IF(AND(Copa2022!F37=G29,Copa2022!H37=I29),Regras!$J$25,IF(Y29=Regras!F51,Regras!$J$26,0)))</f>
        <v/>
      </c>
      <c r="M29" s="495"/>
      <c r="N29" s="318"/>
      <c r="O29" s="381">
        <v>2</v>
      </c>
      <c r="P29" s="382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 x14ac:dyDescent="0.2">
      <c r="A30" s="60" t="s">
        <v>311</v>
      </c>
      <c r="B30" s="485"/>
      <c r="C30" s="171">
        <v>44892</v>
      </c>
      <c r="D30" s="194" t="s">
        <v>136</v>
      </c>
      <c r="E30" s="172" t="s">
        <v>161</v>
      </c>
      <c r="F30" s="78" t="s">
        <v>11</v>
      </c>
      <c r="G30" s="375">
        <v>1</v>
      </c>
      <c r="H30" s="358" t="s">
        <v>0</v>
      </c>
      <c r="I30" s="387">
        <v>2</v>
      </c>
      <c r="J30" s="81" t="s">
        <v>7</v>
      </c>
      <c r="K30" s="52"/>
      <c r="L30" s="495" t="str">
        <f>IF(OR(Copa2022!F38="",G30=""),"",
IF(AND(Copa2022!F38=G30,Copa2022!H38=I30),Regras!$J$25,IF(Y30=Regras!F52,Regras!$J$26,0)))</f>
        <v/>
      </c>
      <c r="M30" s="495"/>
      <c r="N30" s="318"/>
      <c r="O30" s="378">
        <v>3</v>
      </c>
      <c r="P30" s="377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 x14ac:dyDescent="0.25">
      <c r="A31" s="60" t="s">
        <v>312</v>
      </c>
      <c r="B31" s="485"/>
      <c r="C31" s="171">
        <v>44896</v>
      </c>
      <c r="D31" s="194" t="s">
        <v>136</v>
      </c>
      <c r="E31" s="172" t="s">
        <v>143</v>
      </c>
      <c r="F31" s="78" t="s">
        <v>8</v>
      </c>
      <c r="G31" s="375">
        <v>0</v>
      </c>
      <c r="H31" s="358" t="s">
        <v>0</v>
      </c>
      <c r="I31" s="387">
        <v>2</v>
      </c>
      <c r="J31" s="81" t="s">
        <v>11</v>
      </c>
      <c r="K31" s="52"/>
      <c r="L31" s="495" t="str">
        <f>IF(OR(Copa2022!F39="",G31=""),"",
IF(AND(Copa2022!F39=G31,Copa2022!H39=I31),Regras!$J$25,IF(Y31=Regras!F53,Regras!$J$26,0)))</f>
        <v/>
      </c>
      <c r="M31" s="495"/>
      <c r="N31" s="318"/>
      <c r="O31" s="379">
        <v>4</v>
      </c>
      <c r="P31" s="380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 x14ac:dyDescent="0.25">
      <c r="A32" s="60" t="s">
        <v>313</v>
      </c>
      <c r="B32" s="486"/>
      <c r="C32" s="173">
        <v>44896</v>
      </c>
      <c r="D32" s="195" t="s">
        <v>136</v>
      </c>
      <c r="E32" s="174" t="s">
        <v>161</v>
      </c>
      <c r="F32" s="86" t="s">
        <v>160</v>
      </c>
      <c r="G32" s="376">
        <v>1</v>
      </c>
      <c r="H32" s="362" t="s">
        <v>0</v>
      </c>
      <c r="I32" s="388">
        <v>5</v>
      </c>
      <c r="J32" s="89" t="s">
        <v>7</v>
      </c>
      <c r="K32" s="52"/>
      <c r="L32" s="495" t="str">
        <f>IF(OR(Copa2022!F40="",G32=""),"",
IF(AND(Copa2022!F40=G32,Copa2022!H40=I32),Regras!$J$25,IF(Y32=Regras!F54,Regras!$J$26,0)))</f>
        <v/>
      </c>
      <c r="M32" s="495"/>
      <c r="N32" s="318"/>
      <c r="O32" s="373"/>
      <c r="P32" s="377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 x14ac:dyDescent="0.25">
      <c r="A33" s="60" t="s">
        <v>314</v>
      </c>
      <c r="B33" s="48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59">
        <v>0</v>
      </c>
      <c r="H33" s="360" t="s">
        <v>0</v>
      </c>
      <c r="I33" s="368">
        <v>2</v>
      </c>
      <c r="J33" s="85" t="s">
        <v>70</v>
      </c>
      <c r="K33" s="52"/>
      <c r="L33" s="495" t="str">
        <f>IF(OR(Copa2022!F41="",G33=""),"",
IF(AND(Copa2022!F41=G33,Copa2022!H41=I33),Regras!$J$25,IF(Y33=Regras!F55,Regras!$J$26,0)))</f>
        <v/>
      </c>
      <c r="M33" s="495"/>
      <c r="N33" s="318"/>
      <c r="O33" s="502" t="s">
        <v>56</v>
      </c>
      <c r="P33" s="503"/>
      <c r="Q33" s="324" t="str">
        <f>IF(Copa2022!F46="","",IF(Copa2022!O42=Adalberto!P34,Regras!$J$27,0))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/>
      </c>
    </row>
    <row r="34" spans="1:25" s="60" customFormat="1" ht="35.1" customHeight="1" x14ac:dyDescent="0.2">
      <c r="A34" s="60" t="s">
        <v>315</v>
      </c>
      <c r="B34" s="485"/>
      <c r="C34" s="171">
        <v>44888</v>
      </c>
      <c r="D34" s="194" t="s">
        <v>136</v>
      </c>
      <c r="E34" s="177" t="s">
        <v>162</v>
      </c>
      <c r="F34" s="78" t="s">
        <v>104</v>
      </c>
      <c r="G34" s="375">
        <v>3</v>
      </c>
      <c r="H34" s="358" t="s">
        <v>0</v>
      </c>
      <c r="I34" s="387">
        <v>1</v>
      </c>
      <c r="J34" s="81" t="s">
        <v>150</v>
      </c>
      <c r="K34" s="52"/>
      <c r="L34" s="495" t="str">
        <f>IF(OR(Copa2022!F42="",G34=""),"",
IF(AND(Copa2022!F42=G34,Copa2022!H42=I34),Regras!$J$25,IF(Y34=Regras!F56,Regras!$J$26,0)))</f>
        <v/>
      </c>
      <c r="M34" s="495"/>
      <c r="N34" s="318"/>
      <c r="O34" s="378">
        <v>1</v>
      </c>
      <c r="P34" s="377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 x14ac:dyDescent="0.25">
      <c r="A35" s="60" t="s">
        <v>316</v>
      </c>
      <c r="B35" s="485"/>
      <c r="C35" s="171">
        <v>44892</v>
      </c>
      <c r="D35" s="194" t="s">
        <v>135</v>
      </c>
      <c r="E35" s="177" t="s">
        <v>157</v>
      </c>
      <c r="F35" s="78" t="s">
        <v>104</v>
      </c>
      <c r="G35" s="375">
        <v>4</v>
      </c>
      <c r="H35" s="358" t="s">
        <v>0</v>
      </c>
      <c r="I35" s="387">
        <v>0</v>
      </c>
      <c r="J35" s="81" t="s">
        <v>126</v>
      </c>
      <c r="K35" s="52"/>
      <c r="L35" s="495" t="str">
        <f>IF(OR(Copa2022!F43="",G35=""),"",
IF(AND(Copa2022!F43=G35,Copa2022!H43=I35),Regras!$J$25,IF(Y35=Regras!F57,Regras!$J$26,0)))</f>
        <v/>
      </c>
      <c r="M35" s="495"/>
      <c r="N35" s="318"/>
      <c r="O35" s="381">
        <v>2</v>
      </c>
      <c r="P35" s="382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 x14ac:dyDescent="0.2">
      <c r="A36" s="60" t="s">
        <v>317</v>
      </c>
      <c r="B36" s="485"/>
      <c r="C36" s="171">
        <v>44892</v>
      </c>
      <c r="D36" s="194" t="s">
        <v>134</v>
      </c>
      <c r="E36" s="177" t="s">
        <v>143</v>
      </c>
      <c r="F36" s="78" t="s">
        <v>70</v>
      </c>
      <c r="G36" s="375">
        <v>2</v>
      </c>
      <c r="H36" s="358" t="s">
        <v>0</v>
      </c>
      <c r="I36" s="387">
        <v>1</v>
      </c>
      <c r="J36" s="81" t="s">
        <v>150</v>
      </c>
      <c r="K36" s="52"/>
      <c r="L36" s="495" t="str">
        <f>IF(OR(Copa2022!F44="",G36=""),"",
IF(AND(Copa2022!F44=G36,Copa2022!H44=I36),Regras!$J$25,IF(Y36=Regras!F58,Regras!$J$26,0)))</f>
        <v/>
      </c>
      <c r="M36" s="495"/>
      <c r="N36" s="318"/>
      <c r="O36" s="378">
        <v>3</v>
      </c>
      <c r="P36" s="377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 x14ac:dyDescent="0.25">
      <c r="A37" s="60" t="s">
        <v>318</v>
      </c>
      <c r="B37" s="485"/>
      <c r="C37" s="171">
        <v>44896</v>
      </c>
      <c r="D37" s="194" t="s">
        <v>132</v>
      </c>
      <c r="E37" s="177" t="s">
        <v>162</v>
      </c>
      <c r="F37" s="78" t="s">
        <v>70</v>
      </c>
      <c r="G37" s="375">
        <v>1</v>
      </c>
      <c r="H37" s="358" t="s">
        <v>0</v>
      </c>
      <c r="I37" s="387">
        <v>3</v>
      </c>
      <c r="J37" s="81" t="s">
        <v>104</v>
      </c>
      <c r="K37" s="52"/>
      <c r="L37" s="495" t="str">
        <f>IF(OR(Copa2022!F45="",G37=""),"",
IF(AND(Copa2022!F45=G37,Copa2022!H45=I37),Regras!$J$25,IF(Y37=Regras!F59,Regras!$J$26,0)))</f>
        <v/>
      </c>
      <c r="M37" s="495"/>
      <c r="N37" s="318"/>
      <c r="O37" s="379">
        <v>4</v>
      </c>
      <c r="P37" s="380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 x14ac:dyDescent="0.25">
      <c r="A38" s="60" t="s">
        <v>319</v>
      </c>
      <c r="B38" s="486"/>
      <c r="C38" s="173">
        <v>44896</v>
      </c>
      <c r="D38" s="195" t="s">
        <v>132</v>
      </c>
      <c r="E38" s="178" t="s">
        <v>157</v>
      </c>
      <c r="F38" s="90" t="s">
        <v>150</v>
      </c>
      <c r="G38" s="363">
        <v>2</v>
      </c>
      <c r="H38" s="364" t="s">
        <v>0</v>
      </c>
      <c r="I38" s="369">
        <v>0</v>
      </c>
      <c r="J38" s="93" t="s">
        <v>126</v>
      </c>
      <c r="K38" s="52"/>
      <c r="L38" s="495" t="str">
        <f>IF(OR(Copa2022!F46="",G38=""),"",
IF(AND(Copa2022!F46=G38,Copa2022!H46=I38),Regras!$J$25,IF(Y38=Regras!F60,Regras!$J$26,0)))</f>
        <v/>
      </c>
      <c r="M38" s="495"/>
      <c r="N38" s="318"/>
      <c r="O38" s="373"/>
      <c r="P38" s="377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 x14ac:dyDescent="0.25">
      <c r="A39" s="60" t="s">
        <v>320</v>
      </c>
      <c r="B39" s="48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74">
        <v>1</v>
      </c>
      <c r="H39" s="356" t="s">
        <v>0</v>
      </c>
      <c r="I39" s="386">
        <v>0</v>
      </c>
      <c r="J39" s="77" t="s">
        <v>151</v>
      </c>
      <c r="K39" s="52"/>
      <c r="L39" s="495" t="str">
        <f>IF(OR(Copa2022!F47="",G39=""),"",
IF(AND(Copa2022!F47=G39,Copa2022!H47=I39),Regras!$J$25,IF(Y39=Regras!F61,Regras!$J$26,0)))</f>
        <v/>
      </c>
      <c r="M39" s="495"/>
      <c r="N39" s="318"/>
      <c r="O39" s="502" t="s">
        <v>58</v>
      </c>
      <c r="P39" s="503"/>
      <c r="Q39" s="324" t="str">
        <f>IF(Copa2022!F52="","",IF(Copa2022!O48=Adalberto!P40,Regras!$J$27,0))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 x14ac:dyDescent="0.2">
      <c r="A40" s="60" t="s">
        <v>321</v>
      </c>
      <c r="B40" s="485"/>
      <c r="C40" s="171">
        <v>44889</v>
      </c>
      <c r="D40" s="194" t="s">
        <v>136</v>
      </c>
      <c r="E40" s="172" t="s">
        <v>146</v>
      </c>
      <c r="F40" s="78" t="s">
        <v>10</v>
      </c>
      <c r="G40" s="375">
        <v>3</v>
      </c>
      <c r="H40" s="358" t="s">
        <v>0</v>
      </c>
      <c r="I40" s="387">
        <v>0</v>
      </c>
      <c r="J40" s="81" t="s">
        <v>128</v>
      </c>
      <c r="K40" s="52"/>
      <c r="L40" s="495" t="str">
        <f>IF(OR(Copa2022!F48="",G40=""),"",
IF(AND(Copa2022!F48=G40,Copa2022!H48=I40),Regras!$J$25,IF(Y40=Regras!F62,Regras!$J$26,0)))</f>
        <v/>
      </c>
      <c r="M40" s="495"/>
      <c r="N40" s="318"/>
      <c r="O40" s="383">
        <v>1</v>
      </c>
      <c r="P40" s="384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 x14ac:dyDescent="0.25">
      <c r="A41" s="60" t="s">
        <v>322</v>
      </c>
      <c r="B41" s="485"/>
      <c r="C41" s="171">
        <v>44893</v>
      </c>
      <c r="D41" s="194" t="s">
        <v>133</v>
      </c>
      <c r="E41" s="172" t="s">
        <v>164</v>
      </c>
      <c r="F41" s="78" t="s">
        <v>151</v>
      </c>
      <c r="G41" s="375">
        <v>1</v>
      </c>
      <c r="H41" s="358" t="s">
        <v>0</v>
      </c>
      <c r="I41" s="387">
        <v>1</v>
      </c>
      <c r="J41" s="81" t="s">
        <v>128</v>
      </c>
      <c r="K41" s="52"/>
      <c r="L41" s="495" t="str">
        <f>IF(OR(Copa2022!F49="",G41=""),"",
IF(AND(Copa2022!F49=G41,Copa2022!H49=I41),Regras!$J$25,IF(Y41=Regras!F63,Regras!$J$26,0)))</f>
        <v/>
      </c>
      <c r="M41" s="495"/>
      <c r="N41" s="318"/>
      <c r="O41" s="381">
        <v>2</v>
      </c>
      <c r="P41" s="382" t="s">
        <v>128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 x14ac:dyDescent="0.2">
      <c r="A42" s="60" t="s">
        <v>323</v>
      </c>
      <c r="B42" s="485"/>
      <c r="C42" s="171">
        <v>44893</v>
      </c>
      <c r="D42" s="194" t="s">
        <v>134</v>
      </c>
      <c r="E42" s="172" t="s">
        <v>163</v>
      </c>
      <c r="F42" s="78" t="s">
        <v>10</v>
      </c>
      <c r="G42" s="375">
        <v>2</v>
      </c>
      <c r="H42" s="358" t="s">
        <v>0</v>
      </c>
      <c r="I42" s="387">
        <v>0</v>
      </c>
      <c r="J42" s="81" t="s">
        <v>12</v>
      </c>
      <c r="K42" s="52"/>
      <c r="L42" s="495" t="str">
        <f>IF(OR(Copa2022!F50="",G42=""),"",
IF(AND(Copa2022!F50=G42,Copa2022!H50=I42),Regras!$J$25,IF(Y42=Regras!F64,Regras!$J$26,0)))</f>
        <v/>
      </c>
      <c r="M42" s="495"/>
      <c r="N42" s="318"/>
      <c r="O42" s="378">
        <v>3</v>
      </c>
      <c r="P42" s="377" t="s">
        <v>12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 x14ac:dyDescent="0.25">
      <c r="A43" s="60" t="s">
        <v>324</v>
      </c>
      <c r="B43" s="485"/>
      <c r="C43" s="171">
        <v>44897</v>
      </c>
      <c r="D43" s="194" t="s">
        <v>136</v>
      </c>
      <c r="E43" s="172" t="s">
        <v>146</v>
      </c>
      <c r="F43" s="78" t="s">
        <v>151</v>
      </c>
      <c r="G43" s="375">
        <v>1</v>
      </c>
      <c r="H43" s="358" t="s">
        <v>0</v>
      </c>
      <c r="I43" s="387">
        <v>3</v>
      </c>
      <c r="J43" s="81" t="s">
        <v>10</v>
      </c>
      <c r="K43" s="52"/>
      <c r="L43" s="495" t="str">
        <f>IF(OR(Copa2022!F51="",G43=""),"",
IF(AND(Copa2022!F51=G43,Copa2022!H51=I43),Regras!$J$25,IF(Y43=Regras!F65,Regras!$J$26,0)))</f>
        <v/>
      </c>
      <c r="M43" s="495"/>
      <c r="N43" s="318"/>
      <c r="O43" s="379">
        <v>4</v>
      </c>
      <c r="P43" s="380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 x14ac:dyDescent="0.25">
      <c r="A44" s="60" t="s">
        <v>325</v>
      </c>
      <c r="B44" s="486"/>
      <c r="C44" s="173">
        <v>44897</v>
      </c>
      <c r="D44" s="195" t="s">
        <v>136</v>
      </c>
      <c r="E44" s="174" t="s">
        <v>163</v>
      </c>
      <c r="F44" s="86" t="s">
        <v>128</v>
      </c>
      <c r="G44" s="376">
        <v>2</v>
      </c>
      <c r="H44" s="362" t="s">
        <v>0</v>
      </c>
      <c r="I44" s="388">
        <v>1</v>
      </c>
      <c r="J44" s="89" t="s">
        <v>12</v>
      </c>
      <c r="K44" s="52"/>
      <c r="L44" s="495" t="str">
        <f>IF(OR(Copa2022!F52="",G44=""),"",
IF(AND(Copa2022!F52=G44,Copa2022!H52=I44),Regras!$J$25,IF(Y44=Regras!F66,Regras!$J$26,0)))</f>
        <v/>
      </c>
      <c r="M44" s="495"/>
      <c r="N44" s="318"/>
      <c r="O44" s="373"/>
      <c r="P44" s="377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 x14ac:dyDescent="0.25">
      <c r="A45" s="60" t="s">
        <v>326</v>
      </c>
      <c r="B45" s="48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59">
        <v>2</v>
      </c>
      <c r="H45" s="360" t="s">
        <v>0</v>
      </c>
      <c r="I45" s="368">
        <v>0</v>
      </c>
      <c r="J45" s="85" t="s">
        <v>5</v>
      </c>
      <c r="K45" s="52"/>
      <c r="L45" s="495" t="str">
        <f>IF(OR(Copa2022!F53="",G45=""),"",
IF(AND(Copa2022!F53=G45,Copa2022!H53=I45),Regras!$J$25,IF(Y45=Regras!F67,Regras!$J$26,0)))</f>
        <v/>
      </c>
      <c r="M45" s="495"/>
      <c r="N45" s="318"/>
      <c r="O45" s="502" t="s">
        <v>59</v>
      </c>
      <c r="P45" s="503"/>
      <c r="Q45" s="324" t="str">
        <f>IF(Copa2022!F58="","",IF(Copa2022!O54=Adalberto!P46,Regras!$J$27,0))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 x14ac:dyDescent="0.2">
      <c r="A46" s="60" t="s">
        <v>327</v>
      </c>
      <c r="B46" s="485"/>
      <c r="C46" s="171">
        <v>44889</v>
      </c>
      <c r="D46" s="194" t="s">
        <v>134</v>
      </c>
      <c r="E46" s="177" t="s">
        <v>163</v>
      </c>
      <c r="F46" s="78" t="s">
        <v>9</v>
      </c>
      <c r="G46" s="375">
        <v>3</v>
      </c>
      <c r="H46" s="358" t="s">
        <v>0</v>
      </c>
      <c r="I46" s="387">
        <v>0</v>
      </c>
      <c r="J46" s="81" t="s">
        <v>152</v>
      </c>
      <c r="K46" s="52"/>
      <c r="L46" s="495" t="str">
        <f>IF(OR(Copa2022!F54="",G46=""),"",
IF(AND(Copa2022!F54=G46,Copa2022!H54=I46),Regras!$J$25,IF(Y46=Regras!F68,Regras!$J$26,0)))</f>
        <v/>
      </c>
      <c r="M46" s="495"/>
      <c r="N46" s="318"/>
      <c r="O46" s="378">
        <v>1</v>
      </c>
      <c r="P46" s="377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 x14ac:dyDescent="0.25">
      <c r="A47" s="60" t="s">
        <v>328</v>
      </c>
      <c r="B47" s="485"/>
      <c r="C47" s="171">
        <v>44893</v>
      </c>
      <c r="D47" s="194" t="s">
        <v>135</v>
      </c>
      <c r="E47" s="177" t="s">
        <v>148</v>
      </c>
      <c r="F47" s="78" t="s">
        <v>5</v>
      </c>
      <c r="G47" s="375">
        <v>1</v>
      </c>
      <c r="H47" s="358" t="s">
        <v>0</v>
      </c>
      <c r="I47" s="387">
        <v>1</v>
      </c>
      <c r="J47" s="81" t="s">
        <v>152</v>
      </c>
      <c r="K47" s="52"/>
      <c r="L47" s="495" t="str">
        <f>IF(OR(Copa2022!F55="",G47=""),"",
IF(AND(Copa2022!F55=G47,Copa2022!H55=I47),Regras!$J$25,IF(Y47=Regras!F69,Regras!$J$26,0)))</f>
        <v/>
      </c>
      <c r="M47" s="495"/>
      <c r="N47" s="318"/>
      <c r="O47" s="381">
        <v>2</v>
      </c>
      <c r="P47" s="382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 x14ac:dyDescent="0.2">
      <c r="A48" s="60" t="s">
        <v>329</v>
      </c>
      <c r="B48" s="485"/>
      <c r="C48" s="171">
        <v>44893</v>
      </c>
      <c r="D48" s="194" t="s">
        <v>136</v>
      </c>
      <c r="E48" s="177" t="s">
        <v>146</v>
      </c>
      <c r="F48" s="78" t="s">
        <v>9</v>
      </c>
      <c r="G48" s="375">
        <v>2</v>
      </c>
      <c r="H48" s="358" t="s">
        <v>0</v>
      </c>
      <c r="I48" s="387">
        <v>2</v>
      </c>
      <c r="J48" s="81" t="s">
        <v>2</v>
      </c>
      <c r="K48" s="52"/>
      <c r="L48" s="495" t="str">
        <f>IF(OR(Copa2022!F56="",G48=""),"",
IF(AND(Copa2022!F56=G48,Copa2022!H56=I48),Regras!$J$25,IF(Y48=Regras!F70,Regras!$J$26,0)))</f>
        <v/>
      </c>
      <c r="M48" s="495"/>
      <c r="N48" s="318"/>
      <c r="O48" s="378">
        <v>3</v>
      </c>
      <c r="P48" s="377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 x14ac:dyDescent="0.25">
      <c r="A49" s="60" t="s">
        <v>330</v>
      </c>
      <c r="B49" s="485"/>
      <c r="C49" s="171">
        <v>44897</v>
      </c>
      <c r="D49" s="194" t="s">
        <v>132</v>
      </c>
      <c r="E49" s="177" t="s">
        <v>148</v>
      </c>
      <c r="F49" s="78" t="s">
        <v>5</v>
      </c>
      <c r="G49" s="375">
        <v>1</v>
      </c>
      <c r="H49" s="358" t="s">
        <v>0</v>
      </c>
      <c r="I49" s="387">
        <v>3</v>
      </c>
      <c r="J49" s="81" t="s">
        <v>9</v>
      </c>
      <c r="K49" s="52"/>
      <c r="L49" s="495" t="str">
        <f>IF(OR(Copa2022!F57="",G49=""),"",
IF(AND(Copa2022!F57=G49,Copa2022!H57=I49),Regras!$J$25,IF(Y49=Regras!F71,Regras!$J$26,0)))</f>
        <v/>
      </c>
      <c r="M49" s="495"/>
      <c r="N49" s="318"/>
      <c r="O49" s="379">
        <v>4</v>
      </c>
      <c r="P49" s="380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 x14ac:dyDescent="0.25">
      <c r="A50" s="477" t="s">
        <v>331</v>
      </c>
      <c r="B50" s="486"/>
      <c r="C50" s="173">
        <v>44897</v>
      </c>
      <c r="D50" s="195" t="s">
        <v>132</v>
      </c>
      <c r="E50" s="178" t="s">
        <v>164</v>
      </c>
      <c r="F50" s="19" t="s">
        <v>152</v>
      </c>
      <c r="G50" s="370">
        <v>0</v>
      </c>
      <c r="H50" s="371" t="s">
        <v>0</v>
      </c>
      <c r="I50" s="372">
        <v>2</v>
      </c>
      <c r="J50" s="130" t="s">
        <v>2</v>
      </c>
      <c r="K50" s="52"/>
      <c r="L50" s="495" t="str">
        <f>IF(OR(Copa2022!F58="",G50=""),"",
IF(AND(Copa2022!F58=G50,Copa2022!H58=I50),Regras!$J$25,IF(Y50=Regras!F72,Regras!$J$26,0)))</f>
        <v/>
      </c>
      <c r="M50" s="495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x14ac:dyDescent="0.2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 x14ac:dyDescent="0.25">
      <c r="B52" s="44"/>
      <c r="C52" s="506" t="s">
        <v>124</v>
      </c>
      <c r="D52" s="507"/>
      <c r="E52" s="507"/>
      <c r="F52" s="507"/>
      <c r="G52" s="507"/>
      <c r="H52" s="507"/>
      <c r="I52" s="507"/>
      <c r="J52" s="507"/>
      <c r="K52" s="507"/>
      <c r="L52" s="507"/>
      <c r="M52" s="508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 x14ac:dyDescent="0.25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4" t="s">
        <v>78</v>
      </c>
      <c r="M53" s="505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 x14ac:dyDescent="0.25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 x14ac:dyDescent="0.25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 x14ac:dyDescent="0.25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 x14ac:dyDescent="0.25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 x14ac:dyDescent="0.25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 x14ac:dyDescent="0.25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 x14ac:dyDescent="0.25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 x14ac:dyDescent="0.25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 x14ac:dyDescent="0.25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23" t="s">
        <v>78</v>
      </c>
      <c r="M62" s="524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 x14ac:dyDescent="0.25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 x14ac:dyDescent="0.25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 x14ac:dyDescent="0.25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 x14ac:dyDescent="0.25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 x14ac:dyDescent="0.25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20" t="s">
        <v>78</v>
      </c>
      <c r="M67" s="522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 x14ac:dyDescent="0.25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 x14ac:dyDescent="0.25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 x14ac:dyDescent="0.25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20" t="s">
        <v>78</v>
      </c>
      <c r="M70" s="522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 x14ac:dyDescent="0.25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 x14ac:dyDescent="0.25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20" t="s">
        <v>78</v>
      </c>
      <c r="M72" s="521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 x14ac:dyDescent="0.25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 x14ac:dyDescent="0.2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 x14ac:dyDescent="0.25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 x14ac:dyDescent="0.25">
      <c r="C76" s="2"/>
      <c r="D76" s="2"/>
      <c r="E76" s="125" t="s">
        <v>83</v>
      </c>
      <c r="F76" s="511">
        <f>'2ª Fase'!E40:I40</f>
        <v>0</v>
      </c>
      <c r="G76" s="511"/>
      <c r="H76" s="511"/>
      <c r="I76" s="511"/>
      <c r="J76" s="512"/>
      <c r="K76" s="50"/>
      <c r="L76" s="1"/>
      <c r="M76" s="1"/>
    </row>
    <row r="77" spans="1:25" ht="15" customHeight="1" x14ac:dyDescent="0.2">
      <c r="C77" s="2"/>
      <c r="D77" s="2"/>
      <c r="E77" s="126" t="s">
        <v>84</v>
      </c>
      <c r="F77" s="513">
        <f>'2ª Fase'!E41:I41</f>
        <v>0</v>
      </c>
      <c r="G77" s="513"/>
      <c r="H77" s="513"/>
      <c r="I77" s="513"/>
      <c r="J77" s="514"/>
      <c r="K77" s="50"/>
      <c r="L77" s="1"/>
      <c r="M77" s="1"/>
    </row>
    <row r="78" spans="1:25" ht="15" customHeight="1" x14ac:dyDescent="0.2">
      <c r="C78" s="2"/>
      <c r="D78" s="2"/>
      <c r="E78" s="127" t="s">
        <v>102</v>
      </c>
      <c r="F78" s="515">
        <f>'2ª Fase'!E42:I42</f>
        <v>0</v>
      </c>
      <c r="G78" s="515"/>
      <c r="H78" s="515"/>
      <c r="I78" s="515"/>
      <c r="J78" s="516"/>
      <c r="K78" s="50"/>
      <c r="L78" s="1"/>
      <c r="M78" s="1"/>
    </row>
    <row r="79" spans="1:25" ht="15" customHeight="1" thickBot="1" x14ac:dyDescent="0.25">
      <c r="C79" s="2"/>
      <c r="D79" s="2"/>
      <c r="E79" s="128" t="s">
        <v>103</v>
      </c>
      <c r="F79" s="517">
        <f>'2ª Fase'!E43:I43</f>
        <v>0</v>
      </c>
      <c r="G79" s="517"/>
      <c r="H79" s="517"/>
      <c r="I79" s="517"/>
      <c r="J79" s="518"/>
      <c r="K79" s="50"/>
      <c r="L79" s="1"/>
      <c r="M79" s="1"/>
    </row>
    <row r="80" spans="1:25" ht="15" hidden="1" customHeight="1" x14ac:dyDescent="0.2">
      <c r="C80" s="2"/>
      <c r="D80" s="2"/>
      <c r="E80" s="192"/>
      <c r="F80" s="509"/>
      <c r="G80" s="509"/>
      <c r="H80" s="509"/>
      <c r="I80" s="509"/>
      <c r="J80" s="510"/>
      <c r="K80" s="50"/>
      <c r="L80" s="129"/>
      <c r="M80" s="1"/>
    </row>
    <row r="81" spans="3:13" ht="15.75" x14ac:dyDescent="0.2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 x14ac:dyDescent="0.2"/>
    <row r="90" spans="3:13" ht="15.75" customHeight="1" x14ac:dyDescent="0.2"/>
    <row r="91" spans="3:13" ht="15.75" customHeight="1" x14ac:dyDescent="0.2"/>
    <row r="92" spans="3:13" ht="15.75" customHeight="1" x14ac:dyDescent="0.2"/>
    <row r="93" spans="3:13" ht="15.75" customHeight="1" x14ac:dyDescent="0.2"/>
    <row r="94" spans="3:13" ht="15.75" customHeight="1" x14ac:dyDescent="0.2"/>
    <row r="95" spans="3:13" ht="15.75" customHeight="1" x14ac:dyDescent="0.2"/>
    <row r="96" spans="3:13" ht="15.75" customHeight="1" x14ac:dyDescent="0.2"/>
    <row r="117" spans="2:25" s="9" customFormat="1" ht="15.75" hidden="1" x14ac:dyDescent="0.2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F76:J76"/>
    <mergeCell ref="F77:J77"/>
    <mergeCell ref="F78:J78"/>
    <mergeCell ref="F79:J79"/>
    <mergeCell ref="F80:J80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B39:B44"/>
    <mergeCell ref="L39:M39"/>
    <mergeCell ref="O39:P39"/>
    <mergeCell ref="L40:M40"/>
    <mergeCell ref="L41:M41"/>
    <mergeCell ref="L42:M42"/>
    <mergeCell ref="L43:M43"/>
    <mergeCell ref="L44:M44"/>
    <mergeCell ref="B33:B38"/>
    <mergeCell ref="L33:M33"/>
    <mergeCell ref="O33:P33"/>
    <mergeCell ref="L34:M34"/>
    <mergeCell ref="L35:M35"/>
    <mergeCell ref="L36:M36"/>
    <mergeCell ref="L37:M37"/>
    <mergeCell ref="L38:M38"/>
    <mergeCell ref="B27:B32"/>
    <mergeCell ref="L27:M27"/>
    <mergeCell ref="O27:P27"/>
    <mergeCell ref="L28:M28"/>
    <mergeCell ref="L29:M29"/>
    <mergeCell ref="L30:M30"/>
    <mergeCell ref="L31:M31"/>
    <mergeCell ref="L32:M32"/>
    <mergeCell ref="B21:B26"/>
    <mergeCell ref="L21:M21"/>
    <mergeCell ref="O21:P21"/>
    <mergeCell ref="L22:M22"/>
    <mergeCell ref="L23:M23"/>
    <mergeCell ref="L24:M24"/>
    <mergeCell ref="L25:M25"/>
    <mergeCell ref="L26:M26"/>
    <mergeCell ref="B15:B20"/>
    <mergeCell ref="L15:M15"/>
    <mergeCell ref="O15:P15"/>
    <mergeCell ref="L16:M16"/>
    <mergeCell ref="L17:M17"/>
    <mergeCell ref="L18:M18"/>
    <mergeCell ref="L19:M19"/>
    <mergeCell ref="L20:M20"/>
    <mergeCell ref="B9:B14"/>
    <mergeCell ref="L9:M9"/>
    <mergeCell ref="O9:P9"/>
    <mergeCell ref="L10:M10"/>
    <mergeCell ref="L11:M11"/>
    <mergeCell ref="L12:M12"/>
    <mergeCell ref="L13:M13"/>
    <mergeCell ref="L14:M14"/>
    <mergeCell ref="B3:B8"/>
    <mergeCell ref="L3:M3"/>
    <mergeCell ref="O3:P3"/>
    <mergeCell ref="L4:M4"/>
    <mergeCell ref="L5:M5"/>
    <mergeCell ref="L6:M6"/>
    <mergeCell ref="L7:M7"/>
    <mergeCell ref="L8:M8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314" priority="51" stopIfTrue="1" operator="equal">
      <formula>#REF!</formula>
    </cfRule>
  </conditionalFormatting>
  <conditionalFormatting sqref="M54:N54">
    <cfRule type="expression" dxfId="313" priority="50">
      <formula>$H$14="penaltis"</formula>
    </cfRule>
  </conditionalFormatting>
  <conditionalFormatting sqref="L55:N55">
    <cfRule type="expression" dxfId="312" priority="49">
      <formula>$H$15="penaltis"</formula>
    </cfRule>
  </conditionalFormatting>
  <conditionalFormatting sqref="L56:N56">
    <cfRule type="expression" dxfId="311" priority="48">
      <formula>$H$16="penaltis"</formula>
    </cfRule>
  </conditionalFormatting>
  <conditionalFormatting sqref="L57:N57">
    <cfRule type="expression" dxfId="310" priority="47">
      <formula>$H$17="penaltis"</formula>
    </cfRule>
  </conditionalFormatting>
  <conditionalFormatting sqref="L58:N58">
    <cfRule type="expression" dxfId="309" priority="46">
      <formula>$H$18="penaltis"</formula>
    </cfRule>
  </conditionalFormatting>
  <conditionalFormatting sqref="L59:N59">
    <cfRule type="expression" dxfId="308" priority="45">
      <formula>$H$19="penaltis"</formula>
    </cfRule>
  </conditionalFormatting>
  <conditionalFormatting sqref="L60:N60">
    <cfRule type="expression" dxfId="307" priority="44">
      <formula>$H$20="penaltis"</formula>
    </cfRule>
  </conditionalFormatting>
  <conditionalFormatting sqref="L61:N61">
    <cfRule type="expression" dxfId="306" priority="43">
      <formula>$H$21="penaltis"</formula>
    </cfRule>
  </conditionalFormatting>
  <conditionalFormatting sqref="N63">
    <cfRule type="expression" dxfId="305" priority="42">
      <formula>$H$23="penaltis"</formula>
    </cfRule>
  </conditionalFormatting>
  <conditionalFormatting sqref="N64">
    <cfRule type="expression" dxfId="304" priority="41" stopIfTrue="1">
      <formula>$H$24="penaltis"</formula>
    </cfRule>
  </conditionalFormatting>
  <conditionalFormatting sqref="N65">
    <cfRule type="expression" dxfId="303" priority="40" stopIfTrue="1">
      <formula>$H$25="penaltis"</formula>
    </cfRule>
  </conditionalFormatting>
  <conditionalFormatting sqref="N66">
    <cfRule type="expression" dxfId="302" priority="39" stopIfTrue="1">
      <formula>$H$26="penaltis"</formula>
    </cfRule>
  </conditionalFormatting>
  <conditionalFormatting sqref="N68">
    <cfRule type="expression" dxfId="301" priority="38" stopIfTrue="1">
      <formula>$H$28="penaltis"</formula>
    </cfRule>
  </conditionalFormatting>
  <conditionalFormatting sqref="N69">
    <cfRule type="expression" dxfId="300" priority="37" stopIfTrue="1">
      <formula>$H$29="penaltis"</formula>
    </cfRule>
  </conditionalFormatting>
  <conditionalFormatting sqref="N71">
    <cfRule type="expression" dxfId="299" priority="36" stopIfTrue="1">
      <formula>$H$31="penaltis"</formula>
    </cfRule>
  </conditionalFormatting>
  <conditionalFormatting sqref="N73">
    <cfRule type="expression" dxfId="298" priority="35" stopIfTrue="1">
      <formula>$H$33="penaltis"</formula>
    </cfRule>
  </conditionalFormatting>
  <conditionalFormatting sqref="L54:M54">
    <cfRule type="expression" dxfId="297" priority="34" stopIfTrue="1">
      <formula>$K$54="penaltis"</formula>
    </cfRule>
  </conditionalFormatting>
  <conditionalFormatting sqref="L55:M55">
    <cfRule type="expression" dxfId="296" priority="33" stopIfTrue="1">
      <formula>$K$55="penaltis"</formula>
    </cfRule>
  </conditionalFormatting>
  <conditionalFormatting sqref="L56:M56">
    <cfRule type="expression" dxfId="295" priority="32" stopIfTrue="1">
      <formula>$K$56="penaltis"</formula>
    </cfRule>
  </conditionalFormatting>
  <conditionalFormatting sqref="L57:M57">
    <cfRule type="expression" dxfId="294" priority="31" stopIfTrue="1">
      <formula>$K$57="penaltis"</formula>
    </cfRule>
  </conditionalFormatting>
  <conditionalFormatting sqref="L58:M58">
    <cfRule type="expression" dxfId="293" priority="30" stopIfTrue="1">
      <formula>$K$58="penaltis"</formula>
    </cfRule>
  </conditionalFormatting>
  <conditionalFormatting sqref="L59:M59">
    <cfRule type="expression" dxfId="292" priority="29" stopIfTrue="1">
      <formula>$K$59="penaltis"</formula>
    </cfRule>
  </conditionalFormatting>
  <conditionalFormatting sqref="L60:M60">
    <cfRule type="expression" dxfId="291" priority="28" stopIfTrue="1">
      <formula>$K$60="penaltis"</formula>
    </cfRule>
  </conditionalFormatting>
  <conditionalFormatting sqref="L61:M61">
    <cfRule type="expression" dxfId="290" priority="27" stopIfTrue="1">
      <formula>$K$61="penaltis"</formula>
    </cfRule>
  </conditionalFormatting>
  <conditionalFormatting sqref="L63:M63">
    <cfRule type="expression" dxfId="289" priority="26">
      <formula>$K$63="penaltis"</formula>
    </cfRule>
  </conditionalFormatting>
  <conditionalFormatting sqref="L64:M64">
    <cfRule type="expression" dxfId="288" priority="25">
      <formula>$K$64="penaltis"</formula>
    </cfRule>
  </conditionalFormatting>
  <conditionalFormatting sqref="L65:M65">
    <cfRule type="expression" dxfId="287" priority="24">
      <formula>$K$65="penaltis"</formula>
    </cfRule>
  </conditionalFormatting>
  <conditionalFormatting sqref="L66:M66">
    <cfRule type="expression" dxfId="286" priority="23">
      <formula>$K$66="penaltis"</formula>
    </cfRule>
  </conditionalFormatting>
  <conditionalFormatting sqref="L68:M68">
    <cfRule type="expression" dxfId="285" priority="22">
      <formula>$K$68="penaltis"</formula>
    </cfRule>
  </conditionalFormatting>
  <conditionalFormatting sqref="L69:M69">
    <cfRule type="expression" dxfId="284" priority="21">
      <formula>$K$69="penaltis"</formula>
    </cfRule>
  </conditionalFormatting>
  <conditionalFormatting sqref="L71:M71">
    <cfRule type="expression" dxfId="283" priority="20">
      <formula>$K$71="penaltis"</formula>
    </cfRule>
  </conditionalFormatting>
  <conditionalFormatting sqref="L73:M73">
    <cfRule type="expression" dxfId="282" priority="19">
      <formula>$K$73="penaltis"</formula>
    </cfRule>
  </conditionalFormatting>
  <conditionalFormatting sqref="Q4:X5">
    <cfRule type="expression" dxfId="281" priority="18">
      <formula>$R$8=12</formula>
    </cfRule>
  </conditionalFormatting>
  <conditionalFormatting sqref="Q10:X11">
    <cfRule type="expression" dxfId="280" priority="17">
      <formula>$R$14=12</formula>
    </cfRule>
  </conditionalFormatting>
  <conditionalFormatting sqref="Q16:X17">
    <cfRule type="expression" dxfId="279" priority="16">
      <formula>$R$20=12</formula>
    </cfRule>
  </conditionalFormatting>
  <conditionalFormatting sqref="Q22:X23">
    <cfRule type="expression" dxfId="278" priority="15">
      <formula>$R$26=12</formula>
    </cfRule>
  </conditionalFormatting>
  <conditionalFormatting sqref="Q28:X29">
    <cfRule type="expression" dxfId="277" priority="14">
      <formula>$R$32=12</formula>
    </cfRule>
  </conditionalFormatting>
  <conditionalFormatting sqref="Q34:X35">
    <cfRule type="expression" dxfId="276" priority="13">
      <formula>$R$38=12</formula>
    </cfRule>
  </conditionalFormatting>
  <conditionalFormatting sqref="Q40:X41">
    <cfRule type="expression" dxfId="275" priority="12">
      <formula>$R$44=12</formula>
    </cfRule>
  </conditionalFormatting>
  <conditionalFormatting sqref="Q46:X47">
    <cfRule type="expression" dxfId="274" priority="11">
      <formula>$R$50=12</formula>
    </cfRule>
  </conditionalFormatting>
  <conditionalFormatting sqref="F62:J73 B45 B9 B15 B21 B27 B33 B3 F3:F50 J3:J50">
    <cfRule type="cellIs" dxfId="273" priority="52" stopIfTrue="1" operator="equal">
      <formula>#REF!</formula>
    </cfRule>
  </conditionalFormatting>
  <conditionalFormatting sqref="B39">
    <cfRule type="cellIs" dxfId="272" priority="10" stopIfTrue="1" operator="equal">
      <formula>#REF!</formula>
    </cfRule>
  </conditionalFormatting>
  <conditionalFormatting sqref="F54:J61">
    <cfRule type="cellIs" dxfId="271" priority="9" stopIfTrue="1" operator="equal">
      <formula>$Z$7</formula>
    </cfRule>
  </conditionalFormatting>
  <conditionalFormatting sqref="O4:P5">
    <cfRule type="expression" dxfId="270" priority="8">
      <formula>$R$16=12</formula>
    </cfRule>
  </conditionalFormatting>
  <conditionalFormatting sqref="O10:P11">
    <cfRule type="expression" dxfId="269" priority="7">
      <formula>$R$22=12</formula>
    </cfRule>
  </conditionalFormatting>
  <conditionalFormatting sqref="O16:P17">
    <cfRule type="expression" dxfId="268" priority="6">
      <formula>$R$28=12</formula>
    </cfRule>
  </conditionalFormatting>
  <conditionalFormatting sqref="O22:P23">
    <cfRule type="expression" dxfId="267" priority="5">
      <formula>$R$34=12</formula>
    </cfRule>
  </conditionalFormatting>
  <conditionalFormatting sqref="O28:P29">
    <cfRule type="expression" dxfId="266" priority="4">
      <formula>$R$40=12</formula>
    </cfRule>
  </conditionalFormatting>
  <conditionalFormatting sqref="O34:P35">
    <cfRule type="expression" dxfId="265" priority="3">
      <formula>$R$46=12</formula>
    </cfRule>
  </conditionalFormatting>
  <conditionalFormatting sqref="O40:P41">
    <cfRule type="expression" dxfId="264" priority="2">
      <formula>$R$52=12</formula>
    </cfRule>
  </conditionalFormatting>
  <conditionalFormatting sqref="O46:P47">
    <cfRule type="expression" dxfId="263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 xr:uid="{00000000-0002-0000-0F00-000000000000}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A1:HW117"/>
  <sheetViews>
    <sheetView topLeftCell="A17" workbookViewId="0">
      <selection activeCell="F3" sqref="F3:J50"/>
    </sheetView>
  </sheetViews>
  <sheetFormatPr defaultColWidth="0" defaultRowHeight="0" customHeight="1" zeroHeight="1" x14ac:dyDescent="0.2"/>
  <cols>
    <col min="1" max="1" width="6.3203125" customWidth="1"/>
    <col min="2" max="2" width="6.05078125" style="5" bestFit="1" customWidth="1"/>
    <col min="3" max="3" width="9.81640625" style="10" bestFit="1" customWidth="1"/>
    <col min="4" max="4" width="5.24609375" style="10" bestFit="1" customWidth="1"/>
    <col min="5" max="5" width="17.75390625" style="10" bestFit="1" customWidth="1"/>
    <col min="6" max="6" width="25.69140625" style="11" customWidth="1"/>
    <col min="7" max="7" width="2.6875" style="42" customWidth="1"/>
    <col min="8" max="8" width="2.6875" customWidth="1"/>
    <col min="9" max="9" width="2.6875" style="42" customWidth="1"/>
    <col min="10" max="10" width="25.69140625" style="12" customWidth="1"/>
    <col min="11" max="11" width="13.31640625" style="51" hidden="1" customWidth="1"/>
    <col min="12" max="13" width="3.2265625" customWidth="1"/>
    <col min="14" max="14" width="2.82421875" style="1" customWidth="1"/>
    <col min="15" max="15" width="2.015625" style="109" bestFit="1" customWidth="1"/>
    <col min="16" max="16" width="26.09765625" style="113" customWidth="1"/>
    <col min="17" max="17" width="4.70703125" style="322" customWidth="1"/>
    <col min="18" max="18" width="3.765625" style="322" customWidth="1"/>
    <col min="19" max="19" width="1.8828125" style="322" customWidth="1"/>
    <col min="20" max="20" width="2.28515625" style="322" customWidth="1"/>
    <col min="21" max="21" width="3.765625" style="322" customWidth="1"/>
    <col min="22" max="22" width="2.015625" style="322" customWidth="1"/>
    <col min="23" max="24" width="3.765625" style="322" hidden="1" customWidth="1"/>
    <col min="25" max="25" width="12.9140625" style="1" customWidth="1"/>
    <col min="26" max="36" width="9.14453125" hidden="1" customWidth="1"/>
    <col min="37" max="37" width="8.47265625" hidden="1" customWidth="1"/>
    <col min="38" max="38" width="8.7421875" hidden="1" customWidth="1"/>
    <col min="39" max="39" width="10.0859375" hidden="1" customWidth="1"/>
    <col min="40" max="230" width="9.14453125" hidden="1" customWidth="1"/>
    <col min="231" max="231" width="7.26171875" hidden="1" customWidth="1"/>
    <col min="232" max="16384" width="9.14453125" hidden="1"/>
  </cols>
  <sheetData>
    <row r="1" spans="1:25" s="58" customFormat="1" ht="15" customHeight="1" x14ac:dyDescent="0.2">
      <c r="B1" s="496" t="s">
        <v>94</v>
      </c>
      <c r="C1" s="498" t="s">
        <v>95</v>
      </c>
      <c r="D1" s="498" t="s">
        <v>74</v>
      </c>
      <c r="E1" s="500" t="s">
        <v>75</v>
      </c>
      <c r="F1" s="487" t="s">
        <v>96</v>
      </c>
      <c r="G1" s="488"/>
      <c r="H1" s="488"/>
      <c r="I1" s="488"/>
      <c r="J1" s="489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 x14ac:dyDescent="0.25">
      <c r="B2" s="497"/>
      <c r="C2" s="499"/>
      <c r="D2" s="499"/>
      <c r="E2" s="501"/>
      <c r="F2" s="490"/>
      <c r="G2" s="491"/>
      <c r="H2" s="491"/>
      <c r="I2" s="491"/>
      <c r="J2" s="492"/>
      <c r="K2" s="51"/>
      <c r="L2" s="493"/>
      <c r="M2" s="494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 x14ac:dyDescent="0.25">
      <c r="A3" s="60" t="s">
        <v>284</v>
      </c>
      <c r="B3" s="48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74">
        <v>1</v>
      </c>
      <c r="H3" s="356" t="s">
        <v>0</v>
      </c>
      <c r="I3" s="386">
        <v>2</v>
      </c>
      <c r="J3" s="77" t="s">
        <v>142</v>
      </c>
      <c r="K3" s="52"/>
      <c r="L3" s="495">
        <f>IF(OR(Copa2022!F11="",G3=""),"",
IF(AND(Copa2022!F11=G3,Copa2022!H11=I3),Regras!$J$25,IF(Y3=Regras!F25,Regras!$J$26,0)))</f>
        <v>5</v>
      </c>
      <c r="M3" s="495"/>
      <c r="N3" s="318"/>
      <c r="O3" s="502" t="s">
        <v>220</v>
      </c>
      <c r="P3" s="526"/>
      <c r="Q3" s="324" t="str">
        <f>IF(Copa2022!F16="","",IF(Copa2022!O12=Adriano!P4,Regras!$J$27,0))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 x14ac:dyDescent="0.2">
      <c r="A4" s="60" t="s">
        <v>285</v>
      </c>
      <c r="B4" s="485"/>
      <c r="C4" s="171">
        <v>44886</v>
      </c>
      <c r="D4" s="194" t="s">
        <v>134</v>
      </c>
      <c r="E4" s="172" t="s">
        <v>157</v>
      </c>
      <c r="F4" s="78" t="s">
        <v>131</v>
      </c>
      <c r="G4" s="375">
        <v>1</v>
      </c>
      <c r="H4" s="358" t="s">
        <v>0</v>
      </c>
      <c r="I4" s="387">
        <v>1</v>
      </c>
      <c r="J4" s="81" t="s">
        <v>140</v>
      </c>
      <c r="K4" s="52"/>
      <c r="L4" s="495">
        <f>IF(OR(Copa2022!F12="",G4=""),"",
IF(AND(Copa2022!F12=G4,Copa2022!H12=I4),Regras!$J$25,IF(Y4=Regras!F26,Regras!$J$26,0)))</f>
        <v>0</v>
      </c>
      <c r="M4" s="495"/>
      <c r="N4" s="318"/>
      <c r="O4" s="378">
        <v>1</v>
      </c>
      <c r="P4" s="377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empate</v>
      </c>
    </row>
    <row r="5" spans="1:25" s="60" customFormat="1" ht="35.1" customHeight="1" thickBot="1" x14ac:dyDescent="0.25">
      <c r="A5" s="60" t="s">
        <v>286</v>
      </c>
      <c r="B5" s="485"/>
      <c r="C5" s="171">
        <v>44890</v>
      </c>
      <c r="D5" s="194" t="s">
        <v>135</v>
      </c>
      <c r="E5" s="172" t="s">
        <v>157</v>
      </c>
      <c r="F5" s="78" t="s">
        <v>141</v>
      </c>
      <c r="G5" s="375">
        <v>0</v>
      </c>
      <c r="H5" s="358" t="s">
        <v>0</v>
      </c>
      <c r="I5" s="387">
        <v>2</v>
      </c>
      <c r="J5" s="81" t="s">
        <v>131</v>
      </c>
      <c r="K5" s="52"/>
      <c r="L5" s="495" t="str">
        <f>IF(OR(Copa2022!F13="",G5=""),"",
IF(AND(Copa2022!F13=G5,Copa2022!H13=I5),Regras!$J$25,IF(Y5=Regras!F27,Regras!$J$26,0)))</f>
        <v/>
      </c>
      <c r="M5" s="495"/>
      <c r="N5" s="318"/>
      <c r="O5" s="381">
        <v>2</v>
      </c>
      <c r="P5" s="382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 x14ac:dyDescent="0.2">
      <c r="A6" s="60" t="s">
        <v>287</v>
      </c>
      <c r="B6" s="485"/>
      <c r="C6" s="171">
        <v>44890</v>
      </c>
      <c r="D6" s="194" t="s">
        <v>134</v>
      </c>
      <c r="E6" s="172" t="s">
        <v>143</v>
      </c>
      <c r="F6" s="78" t="s">
        <v>140</v>
      </c>
      <c r="G6" s="375">
        <v>2</v>
      </c>
      <c r="H6" s="358" t="s">
        <v>0</v>
      </c>
      <c r="I6" s="387">
        <v>0</v>
      </c>
      <c r="J6" s="81" t="s">
        <v>142</v>
      </c>
      <c r="K6" s="52"/>
      <c r="L6" s="495" t="str">
        <f>IF(OR(Copa2022!F14="",G6=""),"",
IF(AND(Copa2022!F14=G6,Copa2022!H14=I6),Regras!$J$25,IF(Y6=Regras!F28,Regras!$J$26,0)))</f>
        <v/>
      </c>
      <c r="M6" s="495"/>
      <c r="N6" s="318"/>
      <c r="O6" s="378">
        <v>3</v>
      </c>
      <c r="P6" s="377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 x14ac:dyDescent="0.25">
      <c r="A7" s="60" t="s">
        <v>288</v>
      </c>
      <c r="B7" s="485"/>
      <c r="C7" s="171">
        <v>44894</v>
      </c>
      <c r="D7" s="194" t="s">
        <v>132</v>
      </c>
      <c r="E7" s="172" t="s">
        <v>161</v>
      </c>
      <c r="F7" s="78" t="s">
        <v>140</v>
      </c>
      <c r="G7" s="375">
        <v>4</v>
      </c>
      <c r="H7" s="358" t="s">
        <v>0</v>
      </c>
      <c r="I7" s="387">
        <v>0</v>
      </c>
      <c r="J7" s="81" t="s">
        <v>141</v>
      </c>
      <c r="K7" s="52"/>
      <c r="L7" s="495" t="str">
        <f>IF(OR(Copa2022!F15="",G7=""),"",
IF(AND(Copa2022!F15=G7,Copa2022!H15=I7),Regras!$J$25,IF(Y7=Regras!F29,Regras!$J$26,0)))</f>
        <v/>
      </c>
      <c r="M7" s="495"/>
      <c r="N7" s="318"/>
      <c r="O7" s="379">
        <v>4</v>
      </c>
      <c r="P7" s="380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 x14ac:dyDescent="0.25">
      <c r="A8" s="60" t="s">
        <v>289</v>
      </c>
      <c r="B8" s="486"/>
      <c r="C8" s="173">
        <v>44590</v>
      </c>
      <c r="D8" s="195" t="s">
        <v>132</v>
      </c>
      <c r="E8" s="174" t="s">
        <v>143</v>
      </c>
      <c r="F8" s="86" t="s">
        <v>142</v>
      </c>
      <c r="G8" s="376">
        <v>1</v>
      </c>
      <c r="H8" s="362" t="s">
        <v>0</v>
      </c>
      <c r="I8" s="388">
        <v>1</v>
      </c>
      <c r="J8" s="89" t="s">
        <v>131</v>
      </c>
      <c r="K8" s="52"/>
      <c r="L8" s="495" t="str">
        <f>IF(OR(Copa2022!F16="",G8=""),"",
IF(AND(Copa2022!F16=G8,Copa2022!H16=I8),Regras!$J$25,IF(Y8=Regras!F30,Regras!$J$26,0)))</f>
        <v/>
      </c>
      <c r="M8" s="495"/>
      <c r="N8" s="318"/>
      <c r="O8" s="385"/>
      <c r="P8" s="38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 x14ac:dyDescent="0.25">
      <c r="A9" s="60" t="s">
        <v>290</v>
      </c>
      <c r="B9" s="48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59">
        <v>3</v>
      </c>
      <c r="H9" s="360" t="s">
        <v>0</v>
      </c>
      <c r="I9" s="368">
        <v>0</v>
      </c>
      <c r="J9" s="85" t="s">
        <v>123</v>
      </c>
      <c r="K9" s="52"/>
      <c r="L9" s="495">
        <f>IF(OR(Copa2022!F17="",G9=""),"",
IF(AND(Copa2022!F17=G9,Copa2022!H17=I9),Regras!$J$25,IF(Y9=Regras!F31,Regras!$J$26,0)))</f>
        <v>5</v>
      </c>
      <c r="M9" s="495"/>
      <c r="N9" s="318"/>
      <c r="O9" s="502" t="s">
        <v>48</v>
      </c>
      <c r="P9" s="503"/>
      <c r="Q9" s="324" t="str">
        <f>IF(Copa2022!F22="","",IF(Copa2022!O18=Adriano!P10,Regras!$J$27,0))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 x14ac:dyDescent="0.2">
      <c r="A10" s="60" t="s">
        <v>291</v>
      </c>
      <c r="B10" s="485"/>
      <c r="C10" s="171">
        <v>44886</v>
      </c>
      <c r="D10" s="194" t="s">
        <v>136</v>
      </c>
      <c r="E10" s="177" t="s">
        <v>162</v>
      </c>
      <c r="F10" s="78" t="s">
        <v>145</v>
      </c>
      <c r="G10" s="375">
        <v>2</v>
      </c>
      <c r="H10" s="358" t="s">
        <v>0</v>
      </c>
      <c r="I10" s="387">
        <v>1</v>
      </c>
      <c r="J10" s="81" t="s">
        <v>158</v>
      </c>
      <c r="K10" s="52"/>
      <c r="L10" s="495">
        <f>IF(OR(Copa2022!F18="",G10=""),"",
IF(AND(Copa2022!F18=G10,Copa2022!H18=I10),Regras!$J$25,IF(Y10=Regras!F32,Regras!$J$26,0)))</f>
        <v>0</v>
      </c>
      <c r="M10" s="495"/>
      <c r="N10" s="318"/>
      <c r="O10" s="378">
        <v>1</v>
      </c>
      <c r="P10" s="377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Estados Unidos</v>
      </c>
    </row>
    <row r="11" spans="1:25" s="60" customFormat="1" ht="35.1" customHeight="1" thickBot="1" x14ac:dyDescent="0.25">
      <c r="A11" s="60" t="s">
        <v>292</v>
      </c>
      <c r="B11" s="485"/>
      <c r="C11" s="171">
        <v>44890</v>
      </c>
      <c r="D11" s="194" t="s">
        <v>133</v>
      </c>
      <c r="E11" s="177" t="s">
        <v>162</v>
      </c>
      <c r="F11" s="78" t="s">
        <v>158</v>
      </c>
      <c r="G11" s="375">
        <v>1</v>
      </c>
      <c r="H11" s="358" t="s">
        <v>0</v>
      </c>
      <c r="I11" s="387">
        <v>0</v>
      </c>
      <c r="J11" s="81" t="s">
        <v>123</v>
      </c>
      <c r="K11" s="52"/>
      <c r="L11" s="495" t="str">
        <f>IF(OR(Copa2022!F19="",G11=""),"",
IF(AND(Copa2022!F19=G11,Copa2022!H19=I11),Regras!$J$25,IF(Y11=Regras!F33,Regras!$J$26,0)))</f>
        <v/>
      </c>
      <c r="M11" s="495"/>
      <c r="N11" s="318"/>
      <c r="O11" s="381">
        <v>2</v>
      </c>
      <c r="P11" s="382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 x14ac:dyDescent="0.2">
      <c r="A12" s="60" t="s">
        <v>293</v>
      </c>
      <c r="B12" s="485"/>
      <c r="C12" s="171">
        <v>44890</v>
      </c>
      <c r="D12" s="194" t="s">
        <v>136</v>
      </c>
      <c r="E12" s="177" t="s">
        <v>161</v>
      </c>
      <c r="F12" s="78" t="s">
        <v>6</v>
      </c>
      <c r="G12" s="375">
        <v>2</v>
      </c>
      <c r="H12" s="358" t="s">
        <v>0</v>
      </c>
      <c r="I12" s="387">
        <v>1</v>
      </c>
      <c r="J12" s="81" t="s">
        <v>145</v>
      </c>
      <c r="K12" s="52"/>
      <c r="L12" s="495" t="str">
        <f>IF(OR(Copa2022!F20="",G12=""),"",
IF(AND(Copa2022!F20=G12,Copa2022!H20=I12),Regras!$J$25,IF(Y12=Regras!F34,Regras!$J$26,0)))</f>
        <v/>
      </c>
      <c r="M12" s="495"/>
      <c r="N12" s="318"/>
      <c r="O12" s="378">
        <v>3</v>
      </c>
      <c r="P12" s="377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 x14ac:dyDescent="0.25">
      <c r="A13" s="60" t="s">
        <v>294</v>
      </c>
      <c r="B13" s="485"/>
      <c r="C13" s="171">
        <v>44894</v>
      </c>
      <c r="D13" s="194" t="s">
        <v>136</v>
      </c>
      <c r="E13" s="177" t="s">
        <v>162</v>
      </c>
      <c r="F13" s="78" t="s">
        <v>158</v>
      </c>
      <c r="G13" s="375">
        <v>1</v>
      </c>
      <c r="H13" s="358" t="s">
        <v>0</v>
      </c>
      <c r="I13" s="387">
        <v>2</v>
      </c>
      <c r="J13" s="81" t="s">
        <v>6</v>
      </c>
      <c r="K13" s="52"/>
      <c r="L13" s="495" t="str">
        <f>IF(OR(Copa2022!F21="",G13=""),"",
IF(AND(Copa2022!F21=G13,Copa2022!H21=I13),Regras!$J$25,IF(Y13=Regras!F35,Regras!$J$26,0)))</f>
        <v/>
      </c>
      <c r="M13" s="495"/>
      <c r="N13" s="318"/>
      <c r="O13" s="379">
        <v>4</v>
      </c>
      <c r="P13" s="380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 x14ac:dyDescent="0.25">
      <c r="A14" s="60" t="s">
        <v>295</v>
      </c>
      <c r="B14" s="486"/>
      <c r="C14" s="173">
        <v>44894</v>
      </c>
      <c r="D14" s="195" t="s">
        <v>136</v>
      </c>
      <c r="E14" s="178" t="s">
        <v>157</v>
      </c>
      <c r="F14" s="90" t="s">
        <v>123</v>
      </c>
      <c r="G14" s="363">
        <v>1</v>
      </c>
      <c r="H14" s="364" t="s">
        <v>0</v>
      </c>
      <c r="I14" s="369">
        <v>1</v>
      </c>
      <c r="J14" s="93" t="s">
        <v>145</v>
      </c>
      <c r="K14" s="52"/>
      <c r="L14" s="495" t="str">
        <f>IF(OR(Copa2022!F22="",G14=""),"",
IF(AND(Copa2022!F22=G14,Copa2022!H22=I14),Regras!$J$25,IF(Y14=Regras!F36,Regras!$J$26,0)))</f>
        <v/>
      </c>
      <c r="M14" s="495"/>
      <c r="N14" s="318"/>
      <c r="O14" s="373"/>
      <c r="P14" s="377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 x14ac:dyDescent="0.25">
      <c r="A15" s="60" t="s">
        <v>296</v>
      </c>
      <c r="B15" s="48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74">
        <v>3</v>
      </c>
      <c r="H15" s="356" t="s">
        <v>0</v>
      </c>
      <c r="I15" s="386">
        <v>0</v>
      </c>
      <c r="J15" s="77" t="s">
        <v>125</v>
      </c>
      <c r="K15" s="52"/>
      <c r="L15" s="495">
        <f>IF(OR(Copa2022!F23="",G15=""),"",
IF(AND(Copa2022!F23=G15,Copa2022!H23=I15),Regras!$J$25,IF(Y15=Regras!F37,Regras!$J$26,0)))</f>
        <v>0</v>
      </c>
      <c r="M15" s="495"/>
      <c r="N15" s="318"/>
      <c r="O15" s="502" t="s">
        <v>50</v>
      </c>
      <c r="P15" s="503"/>
      <c r="Q15" s="324" t="str">
        <f>IF(Copa2022!F28="","",IF(Copa2022!O24=Adriano!P16,Regras!$J$27,0))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 x14ac:dyDescent="0.2">
      <c r="A16" s="60" t="s">
        <v>297</v>
      </c>
      <c r="B16" s="485"/>
      <c r="C16" s="171">
        <v>44887</v>
      </c>
      <c r="D16" s="194" t="s">
        <v>134</v>
      </c>
      <c r="E16" s="172" t="s">
        <v>163</v>
      </c>
      <c r="F16" s="78" t="s">
        <v>1</v>
      </c>
      <c r="G16" s="375">
        <v>2</v>
      </c>
      <c r="H16" s="358" t="s">
        <v>0</v>
      </c>
      <c r="I16" s="387">
        <v>2</v>
      </c>
      <c r="J16" s="81" t="s">
        <v>130</v>
      </c>
      <c r="K16" s="52"/>
      <c r="L16" s="495">
        <f>IF(OR(Copa2022!F24="",G16=""),"",
IF(AND(Copa2022!F24=G16,Copa2022!H24=I16),Regras!$J$25,IF(Y16=Regras!F38,Regras!$J$26,0)))</f>
        <v>5</v>
      </c>
      <c r="M16" s="495"/>
      <c r="N16" s="318"/>
      <c r="O16" s="378">
        <v>1</v>
      </c>
      <c r="P16" s="377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empate</v>
      </c>
    </row>
    <row r="17" spans="1:25" s="60" customFormat="1" ht="35.1" customHeight="1" thickBot="1" x14ac:dyDescent="0.25">
      <c r="A17" s="60" t="s">
        <v>298</v>
      </c>
      <c r="B17" s="485"/>
      <c r="C17" s="171">
        <v>44891</v>
      </c>
      <c r="D17" s="194" t="s">
        <v>135</v>
      </c>
      <c r="E17" s="172" t="s">
        <v>148</v>
      </c>
      <c r="F17" s="78" t="s">
        <v>130</v>
      </c>
      <c r="G17" s="375">
        <v>2</v>
      </c>
      <c r="H17" s="358" t="s">
        <v>0</v>
      </c>
      <c r="I17" s="387">
        <v>1</v>
      </c>
      <c r="J17" s="81" t="s">
        <v>125</v>
      </c>
      <c r="K17" s="52"/>
      <c r="L17" s="495" t="str">
        <f>IF(OR(Copa2022!F25="",G17=""),"",
IF(AND(Copa2022!F25=G17,Copa2022!H25=I17),Regras!$J$25,IF(Y17=Regras!F39,Regras!$J$26,0)))</f>
        <v/>
      </c>
      <c r="M17" s="495"/>
      <c r="N17" s="318"/>
      <c r="O17" s="381">
        <v>2</v>
      </c>
      <c r="P17" s="382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 x14ac:dyDescent="0.2">
      <c r="A18" s="60" t="s">
        <v>299</v>
      </c>
      <c r="B18" s="485"/>
      <c r="C18" s="171">
        <v>44891</v>
      </c>
      <c r="D18" s="194" t="s">
        <v>136</v>
      </c>
      <c r="E18" s="172" t="s">
        <v>146</v>
      </c>
      <c r="F18" s="78" t="s">
        <v>4</v>
      </c>
      <c r="G18" s="375">
        <v>2</v>
      </c>
      <c r="H18" s="358" t="s">
        <v>0</v>
      </c>
      <c r="I18" s="387">
        <v>0</v>
      </c>
      <c r="J18" s="81" t="s">
        <v>1</v>
      </c>
      <c r="K18" s="52"/>
      <c r="L18" s="495" t="str">
        <f>IF(OR(Copa2022!F26="",G18=""),"",
IF(AND(Copa2022!F26=G18,Copa2022!H26=I18),Regras!$J$25,IF(Y18=Regras!F40,Regras!$J$26,0)))</f>
        <v/>
      </c>
      <c r="M18" s="495"/>
      <c r="N18" s="318"/>
      <c r="O18" s="378">
        <v>3</v>
      </c>
      <c r="P18" s="377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 x14ac:dyDescent="0.25">
      <c r="A19" s="60" t="s">
        <v>300</v>
      </c>
      <c r="B19" s="485"/>
      <c r="C19" s="171">
        <v>44895</v>
      </c>
      <c r="D19" s="194" t="s">
        <v>136</v>
      </c>
      <c r="E19" s="172" t="s">
        <v>163</v>
      </c>
      <c r="F19" s="78" t="s">
        <v>130</v>
      </c>
      <c r="G19" s="375">
        <v>1</v>
      </c>
      <c r="H19" s="358" t="s">
        <v>0</v>
      </c>
      <c r="I19" s="387">
        <v>2</v>
      </c>
      <c r="J19" s="81" t="s">
        <v>4</v>
      </c>
      <c r="K19" s="52"/>
      <c r="L19" s="495" t="str">
        <f>IF(OR(Copa2022!F27="",G19=""),"",
IF(AND(Copa2022!F27=G19,Copa2022!H27=I19),Regras!$J$25,IF(Y19=Regras!F41,Regras!$J$26,0)))</f>
        <v/>
      </c>
      <c r="M19" s="495"/>
      <c r="N19" s="318"/>
      <c r="O19" s="379">
        <v>4</v>
      </c>
      <c r="P19" s="380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 x14ac:dyDescent="0.25">
      <c r="A20" s="60" t="s">
        <v>301</v>
      </c>
      <c r="B20" s="486"/>
      <c r="C20" s="173">
        <v>44895</v>
      </c>
      <c r="D20" s="195" t="s">
        <v>136</v>
      </c>
      <c r="E20" s="174" t="s">
        <v>146</v>
      </c>
      <c r="F20" s="86" t="s">
        <v>125</v>
      </c>
      <c r="G20" s="376">
        <v>1</v>
      </c>
      <c r="H20" s="362" t="s">
        <v>0</v>
      </c>
      <c r="I20" s="388">
        <v>3</v>
      </c>
      <c r="J20" s="89" t="s">
        <v>1</v>
      </c>
      <c r="K20" s="52"/>
      <c r="L20" s="495" t="str">
        <f>IF(OR(Copa2022!F28="",G20=""),"",
IF(AND(Copa2022!F28=G20,Copa2022!H28=I20),Regras!$J$25,IF(Y20=Regras!F42,Regras!$J$26,0)))</f>
        <v/>
      </c>
      <c r="M20" s="495"/>
      <c r="N20" s="318"/>
      <c r="O20" s="373"/>
      <c r="P20" s="377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 x14ac:dyDescent="0.25">
      <c r="A21" s="60" t="s">
        <v>302</v>
      </c>
      <c r="B21" s="48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59">
        <v>2</v>
      </c>
      <c r="H21" s="360" t="s">
        <v>0</v>
      </c>
      <c r="I21" s="368">
        <v>0</v>
      </c>
      <c r="J21" s="85" t="s">
        <v>129</v>
      </c>
      <c r="K21" s="52"/>
      <c r="L21" s="495">
        <f>IF(OR(Copa2022!F29="",G21=""),"",
IF(AND(Copa2022!F29=G21,Copa2022!H29=I21),Regras!$J$25,IF(Y21=Regras!F43,Regras!$J$26,0)))</f>
        <v>0</v>
      </c>
      <c r="M21" s="495"/>
      <c r="N21" s="318"/>
      <c r="O21" s="502" t="s">
        <v>51</v>
      </c>
      <c r="P21" s="503"/>
      <c r="Q21" s="324" t="str">
        <f>IF(Copa2022!F34="","",IF(Copa2022!O30=Adriano!P22,Regras!$J$27,0))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 x14ac:dyDescent="0.2">
      <c r="A22" s="60" t="s">
        <v>303</v>
      </c>
      <c r="B22" s="485"/>
      <c r="C22" s="171">
        <v>44887</v>
      </c>
      <c r="D22" s="194" t="s">
        <v>136</v>
      </c>
      <c r="E22" s="177" t="s">
        <v>164</v>
      </c>
      <c r="F22" s="78" t="s">
        <v>3</v>
      </c>
      <c r="G22" s="375">
        <v>3</v>
      </c>
      <c r="H22" s="358" t="s">
        <v>0</v>
      </c>
      <c r="I22" s="387">
        <v>0</v>
      </c>
      <c r="J22" s="81" t="s">
        <v>159</v>
      </c>
      <c r="K22" s="52"/>
      <c r="L22" s="495">
        <f>IF(OR(Copa2022!F30="",G22=""),"",
IF(AND(Copa2022!F30=G22,Copa2022!H30=I22),Regras!$J$25,IF(Y22=Regras!F44,Regras!$J$26,0)))</f>
        <v>5</v>
      </c>
      <c r="M22" s="495"/>
      <c r="N22" s="318"/>
      <c r="O22" s="378">
        <v>1</v>
      </c>
      <c r="P22" s="377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 x14ac:dyDescent="0.25">
      <c r="A23" s="60" t="s">
        <v>304</v>
      </c>
      <c r="B23" s="485"/>
      <c r="C23" s="171">
        <v>44891</v>
      </c>
      <c r="D23" s="194" t="s">
        <v>133</v>
      </c>
      <c r="E23" s="177" t="s">
        <v>164</v>
      </c>
      <c r="F23" s="78" t="s">
        <v>129</v>
      </c>
      <c r="G23" s="375">
        <v>2</v>
      </c>
      <c r="H23" s="358" t="s">
        <v>0</v>
      </c>
      <c r="I23" s="387">
        <v>0</v>
      </c>
      <c r="J23" s="81" t="s">
        <v>159</v>
      </c>
      <c r="K23" s="52"/>
      <c r="L23" s="495" t="str">
        <f>IF(OR(Copa2022!F31="",G23=""),"",
IF(AND(Copa2022!F31=G23,Copa2022!H31=I23),Regras!$J$25,IF(Y23=Regras!F45,Regras!$J$26,0)))</f>
        <v/>
      </c>
      <c r="M23" s="495"/>
      <c r="N23" s="318"/>
      <c r="O23" s="381">
        <v>2</v>
      </c>
      <c r="P23" s="382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 x14ac:dyDescent="0.2">
      <c r="A24" s="60" t="s">
        <v>305</v>
      </c>
      <c r="B24" s="485"/>
      <c r="C24" s="171">
        <v>44891</v>
      </c>
      <c r="D24" s="194" t="s">
        <v>134</v>
      </c>
      <c r="E24" s="177" t="s">
        <v>163</v>
      </c>
      <c r="F24" s="78" t="s">
        <v>3</v>
      </c>
      <c r="G24" s="375">
        <v>1</v>
      </c>
      <c r="H24" s="358" t="s">
        <v>0</v>
      </c>
      <c r="I24" s="387">
        <v>1</v>
      </c>
      <c r="J24" s="81" t="s">
        <v>127</v>
      </c>
      <c r="K24" s="52"/>
      <c r="L24" s="495" t="str">
        <f>IF(OR(Copa2022!F32="",G24=""),"",
IF(AND(Copa2022!F32=G24,Copa2022!H32=I24),Regras!$J$25,IF(Y24=Regras!F46,Regras!$J$26,0)))</f>
        <v/>
      </c>
      <c r="M24" s="495"/>
      <c r="N24" s="318"/>
      <c r="O24" s="378">
        <v>3</v>
      </c>
      <c r="P24" s="377" t="s">
        <v>129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 x14ac:dyDescent="0.25">
      <c r="A25" s="60" t="s">
        <v>306</v>
      </c>
      <c r="B25" s="485"/>
      <c r="C25" s="171">
        <v>44895</v>
      </c>
      <c r="D25" s="194" t="s">
        <v>132</v>
      </c>
      <c r="E25" s="177" t="s">
        <v>148</v>
      </c>
      <c r="F25" s="78" t="s">
        <v>129</v>
      </c>
      <c r="G25" s="375">
        <v>1</v>
      </c>
      <c r="H25" s="358" t="s">
        <v>0</v>
      </c>
      <c r="I25" s="387">
        <v>3</v>
      </c>
      <c r="J25" s="81" t="s">
        <v>3</v>
      </c>
      <c r="K25" s="52"/>
      <c r="L25" s="495" t="str">
        <f>IF(OR(Copa2022!F33="",G25=""),"",
IF(AND(Copa2022!F33=G25,Copa2022!H33=I25),Regras!$J$25,IF(Y25=Regras!F47,Regras!$J$26,0)))</f>
        <v/>
      </c>
      <c r="M25" s="495"/>
      <c r="N25" s="318"/>
      <c r="O25" s="379">
        <v>4</v>
      </c>
      <c r="P25" s="380" t="s">
        <v>159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 x14ac:dyDescent="0.25">
      <c r="A26" s="60" t="s">
        <v>307</v>
      </c>
      <c r="B26" s="486"/>
      <c r="C26" s="173">
        <v>44895</v>
      </c>
      <c r="D26" s="195" t="s">
        <v>132</v>
      </c>
      <c r="E26" s="178" t="s">
        <v>164</v>
      </c>
      <c r="F26" s="90" t="s">
        <v>159</v>
      </c>
      <c r="G26" s="363">
        <v>0</v>
      </c>
      <c r="H26" s="364" t="s">
        <v>0</v>
      </c>
      <c r="I26" s="369">
        <v>2</v>
      </c>
      <c r="J26" s="93" t="s">
        <v>127</v>
      </c>
      <c r="K26" s="52"/>
      <c r="L26" s="495" t="str">
        <f>IF(OR(Copa2022!F34="",G26=""),"",
IF(AND(Copa2022!F34=G26,Copa2022!H34=I26),Regras!$J$25,IF(Y26=Regras!F48,Regras!$J$26,0)))</f>
        <v/>
      </c>
      <c r="M26" s="495"/>
      <c r="N26" s="318"/>
      <c r="O26" s="373"/>
      <c r="P26" s="377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 x14ac:dyDescent="0.25">
      <c r="A27" s="60" t="s">
        <v>308</v>
      </c>
      <c r="B27" s="48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74">
        <v>2</v>
      </c>
      <c r="H27" s="356" t="s">
        <v>0</v>
      </c>
      <c r="I27" s="386">
        <v>1</v>
      </c>
      <c r="J27" s="77" t="s">
        <v>8</v>
      </c>
      <c r="K27" s="52"/>
      <c r="L27" s="495" t="str">
        <f>IF(OR(Copa2022!F35="",G27=""),"",
IF(AND(Copa2022!F35=G27,Copa2022!H35=I27),Regras!$J$25,IF(Y27=Regras!F49,Regras!$J$26,0)))</f>
        <v/>
      </c>
      <c r="M27" s="495"/>
      <c r="N27" s="318"/>
      <c r="O27" s="502" t="s">
        <v>53</v>
      </c>
      <c r="P27" s="503"/>
      <c r="Q27" s="324" t="str">
        <f>IF(Copa2022!F40="","",IF(Copa2022!O36=Adriano!P28,Regras!$J$27,0))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 x14ac:dyDescent="0.2">
      <c r="A28" s="60" t="s">
        <v>309</v>
      </c>
      <c r="B28" s="485"/>
      <c r="C28" s="171">
        <v>44888</v>
      </c>
      <c r="D28" s="194" t="s">
        <v>134</v>
      </c>
      <c r="E28" s="172" t="s">
        <v>157</v>
      </c>
      <c r="F28" s="78" t="s">
        <v>11</v>
      </c>
      <c r="G28" s="375">
        <v>2</v>
      </c>
      <c r="H28" s="358" t="s">
        <v>0</v>
      </c>
      <c r="I28" s="387">
        <v>0</v>
      </c>
      <c r="J28" s="81" t="s">
        <v>160</v>
      </c>
      <c r="K28" s="52"/>
      <c r="L28" s="495" t="str">
        <f>IF(OR(Copa2022!F36="",G28=""),"",
IF(AND(Copa2022!F36=G28,Copa2022!H36=I28),Regras!$J$25,IF(Y28=Regras!F50,Regras!$J$26,0)))</f>
        <v/>
      </c>
      <c r="M28" s="495"/>
      <c r="N28" s="318"/>
      <c r="O28" s="378">
        <v>1</v>
      </c>
      <c r="P28" s="377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 x14ac:dyDescent="0.25">
      <c r="A29" s="60" t="s">
        <v>310</v>
      </c>
      <c r="B29" s="485"/>
      <c r="C29" s="171">
        <v>44892</v>
      </c>
      <c r="D29" s="194" t="s">
        <v>133</v>
      </c>
      <c r="E29" s="172" t="s">
        <v>162</v>
      </c>
      <c r="F29" s="78" t="s">
        <v>8</v>
      </c>
      <c r="G29" s="375">
        <v>2</v>
      </c>
      <c r="H29" s="358" t="s">
        <v>0</v>
      </c>
      <c r="I29" s="387">
        <v>1</v>
      </c>
      <c r="J29" s="81" t="s">
        <v>160</v>
      </c>
      <c r="K29" s="52"/>
      <c r="L29" s="495" t="str">
        <f>IF(OR(Copa2022!F37="",G29=""),"",
IF(AND(Copa2022!F37=G29,Copa2022!H37=I29),Regras!$J$25,IF(Y29=Regras!F51,Regras!$J$26,0)))</f>
        <v/>
      </c>
      <c r="M29" s="495"/>
      <c r="N29" s="318"/>
      <c r="O29" s="381">
        <v>2</v>
      </c>
      <c r="P29" s="382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 x14ac:dyDescent="0.2">
      <c r="A30" s="60" t="s">
        <v>311</v>
      </c>
      <c r="B30" s="485"/>
      <c r="C30" s="171">
        <v>44892</v>
      </c>
      <c r="D30" s="194" t="s">
        <v>136</v>
      </c>
      <c r="E30" s="172" t="s">
        <v>161</v>
      </c>
      <c r="F30" s="78" t="s">
        <v>11</v>
      </c>
      <c r="G30" s="375">
        <v>1</v>
      </c>
      <c r="H30" s="358" t="s">
        <v>0</v>
      </c>
      <c r="I30" s="387">
        <v>1</v>
      </c>
      <c r="J30" s="81" t="s">
        <v>7</v>
      </c>
      <c r="K30" s="52"/>
      <c r="L30" s="495" t="str">
        <f>IF(OR(Copa2022!F38="",G30=""),"",
IF(AND(Copa2022!F38=G30,Copa2022!H38=I30),Regras!$J$25,IF(Y30=Regras!F52,Regras!$J$26,0)))</f>
        <v/>
      </c>
      <c r="M30" s="495"/>
      <c r="N30" s="318"/>
      <c r="O30" s="378">
        <v>3</v>
      </c>
      <c r="P30" s="377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 x14ac:dyDescent="0.25">
      <c r="A31" s="60" t="s">
        <v>312</v>
      </c>
      <c r="B31" s="485"/>
      <c r="C31" s="171">
        <v>44896</v>
      </c>
      <c r="D31" s="194" t="s">
        <v>136</v>
      </c>
      <c r="E31" s="172" t="s">
        <v>143</v>
      </c>
      <c r="F31" s="78" t="s">
        <v>8</v>
      </c>
      <c r="G31" s="375">
        <v>1</v>
      </c>
      <c r="H31" s="358" t="s">
        <v>0</v>
      </c>
      <c r="I31" s="387">
        <v>1</v>
      </c>
      <c r="J31" s="81" t="s">
        <v>11</v>
      </c>
      <c r="K31" s="52"/>
      <c r="L31" s="495" t="str">
        <f>IF(OR(Copa2022!F39="",G31=""),"",
IF(AND(Copa2022!F39=G31,Copa2022!H39=I31),Regras!$J$25,IF(Y31=Regras!F53,Regras!$J$26,0)))</f>
        <v/>
      </c>
      <c r="M31" s="495"/>
      <c r="N31" s="318"/>
      <c r="O31" s="379">
        <v>4</v>
      </c>
      <c r="P31" s="380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 x14ac:dyDescent="0.25">
      <c r="A32" s="60" t="s">
        <v>313</v>
      </c>
      <c r="B32" s="486"/>
      <c r="C32" s="173">
        <v>44896</v>
      </c>
      <c r="D32" s="195" t="s">
        <v>136</v>
      </c>
      <c r="E32" s="174" t="s">
        <v>161</v>
      </c>
      <c r="F32" s="86" t="s">
        <v>160</v>
      </c>
      <c r="G32" s="376">
        <v>0</v>
      </c>
      <c r="H32" s="362" t="s">
        <v>0</v>
      </c>
      <c r="I32" s="388">
        <v>2</v>
      </c>
      <c r="J32" s="89" t="s">
        <v>7</v>
      </c>
      <c r="K32" s="52"/>
      <c r="L32" s="495" t="str">
        <f>IF(OR(Copa2022!F40="",G32=""),"",
IF(AND(Copa2022!F40=G32,Copa2022!H40=I32),Regras!$J$25,IF(Y32=Regras!F54,Regras!$J$26,0)))</f>
        <v/>
      </c>
      <c r="M32" s="495"/>
      <c r="N32" s="318"/>
      <c r="O32" s="373"/>
      <c r="P32" s="377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 x14ac:dyDescent="0.25">
      <c r="A33" s="60" t="s">
        <v>314</v>
      </c>
      <c r="B33" s="48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59">
        <v>1</v>
      </c>
      <c r="H33" s="360" t="s">
        <v>0</v>
      </c>
      <c r="I33" s="368">
        <v>0</v>
      </c>
      <c r="J33" s="85" t="s">
        <v>70</v>
      </c>
      <c r="K33" s="52"/>
      <c r="L33" s="495" t="str">
        <f>IF(OR(Copa2022!F41="",G33=""),"",
IF(AND(Copa2022!F41=G33,Copa2022!H41=I33),Regras!$J$25,IF(Y33=Regras!F55,Regras!$J$26,0)))</f>
        <v/>
      </c>
      <c r="M33" s="495"/>
      <c r="N33" s="318"/>
      <c r="O33" s="502" t="s">
        <v>56</v>
      </c>
      <c r="P33" s="503"/>
      <c r="Q33" s="324" t="str">
        <f>IF(Copa2022!F46="","",IF(Copa2022!O42=Adriano!P34,Regras!$J$27,0))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/>
      </c>
    </row>
    <row r="34" spans="1:25" s="60" customFormat="1" ht="35.1" customHeight="1" x14ac:dyDescent="0.2">
      <c r="A34" s="60" t="s">
        <v>315</v>
      </c>
      <c r="B34" s="485"/>
      <c r="C34" s="171">
        <v>44888</v>
      </c>
      <c r="D34" s="194" t="s">
        <v>136</v>
      </c>
      <c r="E34" s="177" t="s">
        <v>162</v>
      </c>
      <c r="F34" s="78" t="s">
        <v>104</v>
      </c>
      <c r="G34" s="375">
        <v>3</v>
      </c>
      <c r="H34" s="358" t="s">
        <v>0</v>
      </c>
      <c r="I34" s="387">
        <v>0</v>
      </c>
      <c r="J34" s="81" t="s">
        <v>150</v>
      </c>
      <c r="K34" s="52"/>
      <c r="L34" s="495" t="str">
        <f>IF(OR(Copa2022!F42="",G34=""),"",
IF(AND(Copa2022!F42=G34,Copa2022!H42=I34),Regras!$J$25,IF(Y34=Regras!F56,Regras!$J$26,0)))</f>
        <v/>
      </c>
      <c r="M34" s="495"/>
      <c r="N34" s="318"/>
      <c r="O34" s="378">
        <v>1</v>
      </c>
      <c r="P34" s="377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 x14ac:dyDescent="0.25">
      <c r="A35" s="60" t="s">
        <v>316</v>
      </c>
      <c r="B35" s="485"/>
      <c r="C35" s="171">
        <v>44892</v>
      </c>
      <c r="D35" s="194" t="s">
        <v>135</v>
      </c>
      <c r="E35" s="177" t="s">
        <v>157</v>
      </c>
      <c r="F35" s="78" t="s">
        <v>104</v>
      </c>
      <c r="G35" s="375">
        <v>2</v>
      </c>
      <c r="H35" s="358" t="s">
        <v>0</v>
      </c>
      <c r="I35" s="387">
        <v>1</v>
      </c>
      <c r="J35" s="81" t="s">
        <v>126</v>
      </c>
      <c r="K35" s="52"/>
      <c r="L35" s="495" t="str">
        <f>IF(OR(Copa2022!F43="",G35=""),"",
IF(AND(Copa2022!F43=G35,Copa2022!H43=I35),Regras!$J$25,IF(Y35=Regras!F57,Regras!$J$26,0)))</f>
        <v/>
      </c>
      <c r="M35" s="495"/>
      <c r="N35" s="318"/>
      <c r="O35" s="381">
        <v>2</v>
      </c>
      <c r="P35" s="382" t="s">
        <v>126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 x14ac:dyDescent="0.2">
      <c r="A36" s="60" t="s">
        <v>317</v>
      </c>
      <c r="B36" s="485"/>
      <c r="C36" s="171">
        <v>44892</v>
      </c>
      <c r="D36" s="194" t="s">
        <v>134</v>
      </c>
      <c r="E36" s="177" t="s">
        <v>143</v>
      </c>
      <c r="F36" s="78" t="s">
        <v>70</v>
      </c>
      <c r="G36" s="375">
        <v>2</v>
      </c>
      <c r="H36" s="358" t="s">
        <v>0</v>
      </c>
      <c r="I36" s="387">
        <v>0</v>
      </c>
      <c r="J36" s="81" t="s">
        <v>150</v>
      </c>
      <c r="K36" s="52"/>
      <c r="L36" s="495" t="str">
        <f>IF(OR(Copa2022!F44="",G36=""),"",
IF(AND(Copa2022!F44=G36,Copa2022!H44=I36),Regras!$J$25,IF(Y36=Regras!F58,Regras!$J$26,0)))</f>
        <v/>
      </c>
      <c r="M36" s="495"/>
      <c r="N36" s="318"/>
      <c r="O36" s="378">
        <v>3</v>
      </c>
      <c r="P36" s="377" t="s">
        <v>70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 x14ac:dyDescent="0.25">
      <c r="A37" s="60" t="s">
        <v>318</v>
      </c>
      <c r="B37" s="485"/>
      <c r="C37" s="171">
        <v>44896</v>
      </c>
      <c r="D37" s="194" t="s">
        <v>132</v>
      </c>
      <c r="E37" s="177" t="s">
        <v>162</v>
      </c>
      <c r="F37" s="78" t="s">
        <v>70</v>
      </c>
      <c r="G37" s="375">
        <v>1</v>
      </c>
      <c r="H37" s="358" t="s">
        <v>0</v>
      </c>
      <c r="I37" s="387">
        <v>1</v>
      </c>
      <c r="J37" s="81" t="s">
        <v>104</v>
      </c>
      <c r="K37" s="52"/>
      <c r="L37" s="495" t="str">
        <f>IF(OR(Copa2022!F45="",G37=""),"",
IF(AND(Copa2022!F45=G37,Copa2022!H45=I37),Regras!$J$25,IF(Y37=Regras!F59,Regras!$J$26,0)))</f>
        <v/>
      </c>
      <c r="M37" s="495"/>
      <c r="N37" s="318"/>
      <c r="O37" s="379">
        <v>4</v>
      </c>
      <c r="P37" s="380" t="s">
        <v>150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 x14ac:dyDescent="0.25">
      <c r="A38" s="60" t="s">
        <v>319</v>
      </c>
      <c r="B38" s="486"/>
      <c r="C38" s="173">
        <v>44896</v>
      </c>
      <c r="D38" s="195" t="s">
        <v>132</v>
      </c>
      <c r="E38" s="178" t="s">
        <v>157</v>
      </c>
      <c r="F38" s="90" t="s">
        <v>150</v>
      </c>
      <c r="G38" s="363">
        <v>1</v>
      </c>
      <c r="H38" s="364" t="s">
        <v>0</v>
      </c>
      <c r="I38" s="369">
        <v>2</v>
      </c>
      <c r="J38" s="93" t="s">
        <v>126</v>
      </c>
      <c r="K38" s="52"/>
      <c r="L38" s="495" t="str">
        <f>IF(OR(Copa2022!F46="",G38=""),"",
IF(AND(Copa2022!F46=G38,Copa2022!H46=I38),Regras!$J$25,IF(Y38=Regras!F60,Regras!$J$26,0)))</f>
        <v/>
      </c>
      <c r="M38" s="495"/>
      <c r="N38" s="318"/>
      <c r="O38" s="373"/>
      <c r="P38" s="377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 x14ac:dyDescent="0.25">
      <c r="A39" s="60" t="s">
        <v>320</v>
      </c>
      <c r="B39" s="48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74">
        <v>2</v>
      </c>
      <c r="H39" s="356" t="s">
        <v>0</v>
      </c>
      <c r="I39" s="386">
        <v>2</v>
      </c>
      <c r="J39" s="77" t="s">
        <v>151</v>
      </c>
      <c r="K39" s="52"/>
      <c r="L39" s="495" t="str">
        <f>IF(OR(Copa2022!F47="",G39=""),"",
IF(AND(Copa2022!F47=G39,Copa2022!H47=I39),Regras!$J$25,IF(Y39=Regras!F61,Regras!$J$26,0)))</f>
        <v/>
      </c>
      <c r="M39" s="495"/>
      <c r="N39" s="318"/>
      <c r="O39" s="502" t="s">
        <v>58</v>
      </c>
      <c r="P39" s="503"/>
      <c r="Q39" s="324" t="str">
        <f>IF(Copa2022!F52="","",IF(Copa2022!O48=Adriano!P40,Regras!$J$27,0))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 x14ac:dyDescent="0.2">
      <c r="A40" s="60" t="s">
        <v>321</v>
      </c>
      <c r="B40" s="485"/>
      <c r="C40" s="171">
        <v>44889</v>
      </c>
      <c r="D40" s="194" t="s">
        <v>136</v>
      </c>
      <c r="E40" s="172" t="s">
        <v>146</v>
      </c>
      <c r="F40" s="78" t="s">
        <v>10</v>
      </c>
      <c r="G40" s="375">
        <v>2</v>
      </c>
      <c r="H40" s="358" t="s">
        <v>0</v>
      </c>
      <c r="I40" s="387">
        <v>2</v>
      </c>
      <c r="J40" s="81" t="s">
        <v>128</v>
      </c>
      <c r="K40" s="52"/>
      <c r="L40" s="495" t="str">
        <f>IF(OR(Copa2022!F48="",G40=""),"",
IF(AND(Copa2022!F48=G40,Copa2022!H48=I40),Regras!$J$25,IF(Y40=Regras!F62,Regras!$J$26,0)))</f>
        <v/>
      </c>
      <c r="M40" s="495"/>
      <c r="N40" s="318"/>
      <c r="O40" s="383">
        <v>1</v>
      </c>
      <c r="P40" s="384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 x14ac:dyDescent="0.25">
      <c r="A41" s="60" t="s">
        <v>322</v>
      </c>
      <c r="B41" s="485"/>
      <c r="C41" s="171">
        <v>44893</v>
      </c>
      <c r="D41" s="194" t="s">
        <v>133</v>
      </c>
      <c r="E41" s="172" t="s">
        <v>164</v>
      </c>
      <c r="F41" s="78" t="s">
        <v>151</v>
      </c>
      <c r="G41" s="375">
        <v>1</v>
      </c>
      <c r="H41" s="358" t="s">
        <v>0</v>
      </c>
      <c r="I41" s="387">
        <v>2</v>
      </c>
      <c r="J41" s="81" t="s">
        <v>128</v>
      </c>
      <c r="K41" s="52"/>
      <c r="L41" s="495" t="str">
        <f>IF(OR(Copa2022!F49="",G41=""),"",
IF(AND(Copa2022!F49=G41,Copa2022!H49=I41),Regras!$J$25,IF(Y41=Regras!F63,Regras!$J$26,0)))</f>
        <v/>
      </c>
      <c r="M41" s="495"/>
      <c r="N41" s="318"/>
      <c r="O41" s="381">
        <v>2</v>
      </c>
      <c r="P41" s="382" t="s">
        <v>128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 x14ac:dyDescent="0.2">
      <c r="A42" s="60" t="s">
        <v>323</v>
      </c>
      <c r="B42" s="485"/>
      <c r="C42" s="171">
        <v>44893</v>
      </c>
      <c r="D42" s="194" t="s">
        <v>134</v>
      </c>
      <c r="E42" s="172" t="s">
        <v>163</v>
      </c>
      <c r="F42" s="78" t="s">
        <v>10</v>
      </c>
      <c r="G42" s="375">
        <v>2</v>
      </c>
      <c r="H42" s="358" t="s">
        <v>0</v>
      </c>
      <c r="I42" s="387">
        <v>0</v>
      </c>
      <c r="J42" s="81" t="s">
        <v>12</v>
      </c>
      <c r="K42" s="52"/>
      <c r="L42" s="495" t="str">
        <f>IF(OR(Copa2022!F50="",G42=""),"",
IF(AND(Copa2022!F50=G42,Copa2022!H50=I42),Regras!$J$25,IF(Y42=Regras!F64,Regras!$J$26,0)))</f>
        <v/>
      </c>
      <c r="M42" s="495"/>
      <c r="N42" s="318"/>
      <c r="O42" s="378">
        <v>3</v>
      </c>
      <c r="P42" s="377" t="s">
        <v>12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 x14ac:dyDescent="0.25">
      <c r="A43" s="60" t="s">
        <v>324</v>
      </c>
      <c r="B43" s="485"/>
      <c r="C43" s="171">
        <v>44897</v>
      </c>
      <c r="D43" s="194" t="s">
        <v>136</v>
      </c>
      <c r="E43" s="172" t="s">
        <v>146</v>
      </c>
      <c r="F43" s="78" t="s">
        <v>151</v>
      </c>
      <c r="G43" s="375">
        <v>1</v>
      </c>
      <c r="H43" s="358" t="s">
        <v>0</v>
      </c>
      <c r="I43" s="387">
        <v>3</v>
      </c>
      <c r="J43" s="81" t="s">
        <v>10</v>
      </c>
      <c r="K43" s="52"/>
      <c r="L43" s="495" t="str">
        <f>IF(OR(Copa2022!F51="",G43=""),"",
IF(AND(Copa2022!F51=G43,Copa2022!H51=I43),Regras!$J$25,IF(Y43=Regras!F65,Regras!$J$26,0)))</f>
        <v/>
      </c>
      <c r="M43" s="495"/>
      <c r="N43" s="318"/>
      <c r="O43" s="379">
        <v>4</v>
      </c>
      <c r="P43" s="380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 x14ac:dyDescent="0.25">
      <c r="A44" s="60" t="s">
        <v>325</v>
      </c>
      <c r="B44" s="486"/>
      <c r="C44" s="173">
        <v>44897</v>
      </c>
      <c r="D44" s="195" t="s">
        <v>136</v>
      </c>
      <c r="E44" s="174" t="s">
        <v>163</v>
      </c>
      <c r="F44" s="86" t="s">
        <v>128</v>
      </c>
      <c r="G44" s="376">
        <v>1</v>
      </c>
      <c r="H44" s="362" t="s">
        <v>0</v>
      </c>
      <c r="I44" s="388">
        <v>1</v>
      </c>
      <c r="J44" s="89" t="s">
        <v>12</v>
      </c>
      <c r="K44" s="52"/>
      <c r="L44" s="495" t="str">
        <f>IF(OR(Copa2022!F52="",G44=""),"",
IF(AND(Copa2022!F52=G44,Copa2022!H52=I44),Regras!$J$25,IF(Y44=Regras!F66,Regras!$J$26,0)))</f>
        <v/>
      </c>
      <c r="M44" s="495"/>
      <c r="N44" s="318"/>
      <c r="O44" s="373"/>
      <c r="P44" s="377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 x14ac:dyDescent="0.25">
      <c r="A45" s="60" t="s">
        <v>326</v>
      </c>
      <c r="B45" s="48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59">
        <v>1</v>
      </c>
      <c r="H45" s="360" t="s">
        <v>0</v>
      </c>
      <c r="I45" s="368">
        <v>1</v>
      </c>
      <c r="J45" s="85" t="s">
        <v>5</v>
      </c>
      <c r="K45" s="52"/>
      <c r="L45" s="495" t="str">
        <f>IF(OR(Copa2022!F53="",G45=""),"",
IF(AND(Copa2022!F53=G45,Copa2022!H53=I45),Regras!$J$25,IF(Y45=Regras!F67,Regras!$J$26,0)))</f>
        <v/>
      </c>
      <c r="M45" s="495"/>
      <c r="N45" s="318"/>
      <c r="O45" s="502" t="s">
        <v>59</v>
      </c>
      <c r="P45" s="503"/>
      <c r="Q45" s="324" t="str">
        <f>IF(Copa2022!F58="","",IF(Copa2022!O54=Adriano!P46,Regras!$J$27,0))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 x14ac:dyDescent="0.2">
      <c r="A46" s="60" t="s">
        <v>327</v>
      </c>
      <c r="B46" s="485"/>
      <c r="C46" s="171">
        <v>44889</v>
      </c>
      <c r="D46" s="194" t="s">
        <v>134</v>
      </c>
      <c r="E46" s="177" t="s">
        <v>163</v>
      </c>
      <c r="F46" s="78" t="s">
        <v>9</v>
      </c>
      <c r="G46" s="375">
        <v>2</v>
      </c>
      <c r="H46" s="358" t="s">
        <v>0</v>
      </c>
      <c r="I46" s="387">
        <v>0</v>
      </c>
      <c r="J46" s="81" t="s">
        <v>152</v>
      </c>
      <c r="K46" s="52"/>
      <c r="L46" s="495" t="str">
        <f>IF(OR(Copa2022!F54="",G46=""),"",
IF(AND(Copa2022!F54=G46,Copa2022!H54=I46),Regras!$J$25,IF(Y46=Regras!F68,Regras!$J$26,0)))</f>
        <v/>
      </c>
      <c r="M46" s="495"/>
      <c r="N46" s="318"/>
      <c r="O46" s="378">
        <v>1</v>
      </c>
      <c r="P46" s="377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 x14ac:dyDescent="0.25">
      <c r="A47" s="60" t="s">
        <v>328</v>
      </c>
      <c r="B47" s="485"/>
      <c r="C47" s="171">
        <v>44893</v>
      </c>
      <c r="D47" s="194" t="s">
        <v>135</v>
      </c>
      <c r="E47" s="177" t="s">
        <v>148</v>
      </c>
      <c r="F47" s="78" t="s">
        <v>5</v>
      </c>
      <c r="G47" s="375">
        <v>1</v>
      </c>
      <c r="H47" s="358" t="s">
        <v>0</v>
      </c>
      <c r="I47" s="387">
        <v>1</v>
      </c>
      <c r="J47" s="81" t="s">
        <v>152</v>
      </c>
      <c r="K47" s="52"/>
      <c r="L47" s="495" t="str">
        <f>IF(OR(Copa2022!F55="",G47=""),"",
IF(AND(Copa2022!F55=G47,Copa2022!H55=I47),Regras!$J$25,IF(Y47=Regras!F69,Regras!$J$26,0)))</f>
        <v/>
      </c>
      <c r="M47" s="495"/>
      <c r="N47" s="318"/>
      <c r="O47" s="381">
        <v>2</v>
      </c>
      <c r="P47" s="382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 x14ac:dyDescent="0.2">
      <c r="A48" s="60" t="s">
        <v>329</v>
      </c>
      <c r="B48" s="485"/>
      <c r="C48" s="171">
        <v>44893</v>
      </c>
      <c r="D48" s="194" t="s">
        <v>136</v>
      </c>
      <c r="E48" s="177" t="s">
        <v>146</v>
      </c>
      <c r="F48" s="78" t="s">
        <v>9</v>
      </c>
      <c r="G48" s="375">
        <v>1</v>
      </c>
      <c r="H48" s="358" t="s">
        <v>0</v>
      </c>
      <c r="I48" s="387">
        <v>1</v>
      </c>
      <c r="J48" s="81" t="s">
        <v>2</v>
      </c>
      <c r="K48" s="52"/>
      <c r="L48" s="495" t="str">
        <f>IF(OR(Copa2022!F56="",G48=""),"",
IF(AND(Copa2022!F56=G48,Copa2022!H56=I48),Regras!$J$25,IF(Y48=Regras!F70,Regras!$J$26,0)))</f>
        <v/>
      </c>
      <c r="M48" s="495"/>
      <c r="N48" s="318"/>
      <c r="O48" s="378">
        <v>3</v>
      </c>
      <c r="P48" s="377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 x14ac:dyDescent="0.25">
      <c r="A49" s="60" t="s">
        <v>330</v>
      </c>
      <c r="B49" s="485"/>
      <c r="C49" s="171">
        <v>44897</v>
      </c>
      <c r="D49" s="194" t="s">
        <v>132</v>
      </c>
      <c r="E49" s="177" t="s">
        <v>148</v>
      </c>
      <c r="F49" s="78" t="s">
        <v>5</v>
      </c>
      <c r="G49" s="375">
        <v>0</v>
      </c>
      <c r="H49" s="358" t="s">
        <v>0</v>
      </c>
      <c r="I49" s="387">
        <v>2</v>
      </c>
      <c r="J49" s="81" t="s">
        <v>9</v>
      </c>
      <c r="K49" s="52"/>
      <c r="L49" s="495" t="str">
        <f>IF(OR(Copa2022!F57="",G49=""),"",
IF(AND(Copa2022!F57=G49,Copa2022!H57=I49),Regras!$J$25,IF(Y49=Regras!F71,Regras!$J$26,0)))</f>
        <v/>
      </c>
      <c r="M49" s="495"/>
      <c r="N49" s="318"/>
      <c r="O49" s="379">
        <v>4</v>
      </c>
      <c r="P49" s="380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 x14ac:dyDescent="0.25">
      <c r="A50" s="477" t="s">
        <v>331</v>
      </c>
      <c r="B50" s="486"/>
      <c r="C50" s="173">
        <v>44897</v>
      </c>
      <c r="D50" s="195" t="s">
        <v>132</v>
      </c>
      <c r="E50" s="178" t="s">
        <v>164</v>
      </c>
      <c r="F50" s="19" t="s">
        <v>152</v>
      </c>
      <c r="G50" s="370">
        <v>1</v>
      </c>
      <c r="H50" s="371" t="s">
        <v>0</v>
      </c>
      <c r="I50" s="372">
        <v>2</v>
      </c>
      <c r="J50" s="130" t="s">
        <v>2</v>
      </c>
      <c r="K50" s="52"/>
      <c r="L50" s="495" t="str">
        <f>IF(OR(Copa2022!F58="",G50=""),"",
IF(AND(Copa2022!F58=G50,Copa2022!H58=I50),Regras!$J$25,IF(Y50=Regras!F72,Regras!$J$26,0)))</f>
        <v/>
      </c>
      <c r="M50" s="495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x14ac:dyDescent="0.2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 x14ac:dyDescent="0.25">
      <c r="B52" s="44"/>
      <c r="C52" s="506" t="s">
        <v>124</v>
      </c>
      <c r="D52" s="507"/>
      <c r="E52" s="507"/>
      <c r="F52" s="507"/>
      <c r="G52" s="507"/>
      <c r="H52" s="507"/>
      <c r="I52" s="507"/>
      <c r="J52" s="507"/>
      <c r="K52" s="507"/>
      <c r="L52" s="507"/>
      <c r="M52" s="508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 x14ac:dyDescent="0.25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4" t="s">
        <v>78</v>
      </c>
      <c r="M53" s="505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 x14ac:dyDescent="0.25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 x14ac:dyDescent="0.25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 x14ac:dyDescent="0.25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 x14ac:dyDescent="0.25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 x14ac:dyDescent="0.25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 x14ac:dyDescent="0.25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 x14ac:dyDescent="0.25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 x14ac:dyDescent="0.25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 x14ac:dyDescent="0.25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23" t="s">
        <v>78</v>
      </c>
      <c r="M62" s="524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 x14ac:dyDescent="0.25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 x14ac:dyDescent="0.25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 x14ac:dyDescent="0.25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 x14ac:dyDescent="0.25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 x14ac:dyDescent="0.25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20" t="s">
        <v>78</v>
      </c>
      <c r="M67" s="522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 x14ac:dyDescent="0.25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 x14ac:dyDescent="0.25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 x14ac:dyDescent="0.25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20" t="s">
        <v>78</v>
      </c>
      <c r="M70" s="522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 x14ac:dyDescent="0.25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 x14ac:dyDescent="0.25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20" t="s">
        <v>78</v>
      </c>
      <c r="M72" s="521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 x14ac:dyDescent="0.25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 x14ac:dyDescent="0.2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 x14ac:dyDescent="0.25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 x14ac:dyDescent="0.25">
      <c r="C76" s="2"/>
      <c r="D76" s="2"/>
      <c r="E76" s="125" t="s">
        <v>83</v>
      </c>
      <c r="F76" s="511">
        <f>'2ª Fase'!E40:I40</f>
        <v>0</v>
      </c>
      <c r="G76" s="511"/>
      <c r="H76" s="511"/>
      <c r="I76" s="511"/>
      <c r="J76" s="512"/>
      <c r="K76" s="50"/>
      <c r="L76" s="1"/>
      <c r="M76" s="1"/>
    </row>
    <row r="77" spans="1:25" ht="15" customHeight="1" x14ac:dyDescent="0.2">
      <c r="C77" s="2"/>
      <c r="D77" s="2"/>
      <c r="E77" s="126" t="s">
        <v>84</v>
      </c>
      <c r="F77" s="513">
        <f>'2ª Fase'!E41:I41</f>
        <v>0</v>
      </c>
      <c r="G77" s="513"/>
      <c r="H77" s="513"/>
      <c r="I77" s="513"/>
      <c r="J77" s="514"/>
      <c r="K77" s="50"/>
      <c r="L77" s="1"/>
      <c r="M77" s="1"/>
    </row>
    <row r="78" spans="1:25" ht="15" customHeight="1" x14ac:dyDescent="0.2">
      <c r="C78" s="2"/>
      <c r="D78" s="2"/>
      <c r="E78" s="127" t="s">
        <v>102</v>
      </c>
      <c r="F78" s="515">
        <f>'2ª Fase'!E42:I42</f>
        <v>0</v>
      </c>
      <c r="G78" s="515"/>
      <c r="H78" s="515"/>
      <c r="I78" s="515"/>
      <c r="J78" s="516"/>
      <c r="K78" s="50"/>
      <c r="L78" s="1"/>
      <c r="M78" s="1"/>
    </row>
    <row r="79" spans="1:25" ht="15" customHeight="1" thickBot="1" x14ac:dyDescent="0.25">
      <c r="C79" s="2"/>
      <c r="D79" s="2"/>
      <c r="E79" s="128" t="s">
        <v>103</v>
      </c>
      <c r="F79" s="517">
        <f>'2ª Fase'!E43:I43</f>
        <v>0</v>
      </c>
      <c r="G79" s="517"/>
      <c r="H79" s="517"/>
      <c r="I79" s="517"/>
      <c r="J79" s="518"/>
      <c r="K79" s="50"/>
      <c r="L79" s="1"/>
      <c r="M79" s="1"/>
    </row>
    <row r="80" spans="1:25" ht="15" hidden="1" customHeight="1" x14ac:dyDescent="0.2">
      <c r="C80" s="2"/>
      <c r="D80" s="2"/>
      <c r="E80" s="192"/>
      <c r="F80" s="509"/>
      <c r="G80" s="509"/>
      <c r="H80" s="509"/>
      <c r="I80" s="509"/>
      <c r="J80" s="510"/>
      <c r="K80" s="50"/>
      <c r="L80" s="129"/>
      <c r="M80" s="1"/>
    </row>
    <row r="81" spans="3:13" ht="15.75" x14ac:dyDescent="0.2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 x14ac:dyDescent="0.2"/>
    <row r="90" spans="3:13" ht="15.75" customHeight="1" x14ac:dyDescent="0.2"/>
    <row r="91" spans="3:13" ht="15.75" customHeight="1" x14ac:dyDescent="0.2"/>
    <row r="92" spans="3:13" ht="15.75" customHeight="1" x14ac:dyDescent="0.2"/>
    <row r="93" spans="3:13" ht="15.75" customHeight="1" x14ac:dyDescent="0.2"/>
    <row r="94" spans="3:13" ht="15.75" customHeight="1" x14ac:dyDescent="0.2"/>
    <row r="95" spans="3:13" ht="15.75" customHeight="1" x14ac:dyDescent="0.2"/>
    <row r="96" spans="3:13" ht="15.75" customHeight="1" x14ac:dyDescent="0.2"/>
    <row r="117" spans="2:25" s="9" customFormat="1" ht="15.75" hidden="1" x14ac:dyDescent="0.2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F76:J76"/>
    <mergeCell ref="F77:J77"/>
    <mergeCell ref="F78:J78"/>
    <mergeCell ref="F79:J79"/>
    <mergeCell ref="F80:J80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B39:B44"/>
    <mergeCell ref="L39:M39"/>
    <mergeCell ref="O39:P39"/>
    <mergeCell ref="L40:M40"/>
    <mergeCell ref="L41:M41"/>
    <mergeCell ref="L42:M42"/>
    <mergeCell ref="L43:M43"/>
    <mergeCell ref="L44:M44"/>
    <mergeCell ref="B33:B38"/>
    <mergeCell ref="L33:M33"/>
    <mergeCell ref="O33:P33"/>
    <mergeCell ref="L34:M34"/>
    <mergeCell ref="L35:M35"/>
    <mergeCell ref="L36:M36"/>
    <mergeCell ref="L37:M37"/>
    <mergeCell ref="L38:M38"/>
    <mergeCell ref="B27:B32"/>
    <mergeCell ref="L27:M27"/>
    <mergeCell ref="O27:P27"/>
    <mergeCell ref="L28:M28"/>
    <mergeCell ref="L29:M29"/>
    <mergeCell ref="L30:M30"/>
    <mergeCell ref="L31:M31"/>
    <mergeCell ref="L32:M32"/>
    <mergeCell ref="B21:B26"/>
    <mergeCell ref="L21:M21"/>
    <mergeCell ref="O21:P21"/>
    <mergeCell ref="L22:M22"/>
    <mergeCell ref="L23:M23"/>
    <mergeCell ref="L24:M24"/>
    <mergeCell ref="L25:M25"/>
    <mergeCell ref="L26:M26"/>
    <mergeCell ref="B15:B20"/>
    <mergeCell ref="L15:M15"/>
    <mergeCell ref="O15:P15"/>
    <mergeCell ref="L16:M16"/>
    <mergeCell ref="L17:M17"/>
    <mergeCell ref="L18:M18"/>
    <mergeCell ref="L19:M19"/>
    <mergeCell ref="L20:M20"/>
    <mergeCell ref="B9:B14"/>
    <mergeCell ref="L9:M9"/>
    <mergeCell ref="O9:P9"/>
    <mergeCell ref="L10:M10"/>
    <mergeCell ref="L11:M11"/>
    <mergeCell ref="L12:M12"/>
    <mergeCell ref="L13:M13"/>
    <mergeCell ref="L14:M14"/>
    <mergeCell ref="B3:B8"/>
    <mergeCell ref="L3:M3"/>
    <mergeCell ref="O3:P3"/>
    <mergeCell ref="L4:M4"/>
    <mergeCell ref="L5:M5"/>
    <mergeCell ref="L6:M6"/>
    <mergeCell ref="L7:M7"/>
    <mergeCell ref="L8:M8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262" priority="51" stopIfTrue="1" operator="equal">
      <formula>#REF!</formula>
    </cfRule>
  </conditionalFormatting>
  <conditionalFormatting sqref="M54:N54">
    <cfRule type="expression" dxfId="261" priority="50">
      <formula>$H$14="penaltis"</formula>
    </cfRule>
  </conditionalFormatting>
  <conditionalFormatting sqref="L55:N55">
    <cfRule type="expression" dxfId="260" priority="49">
      <formula>$H$15="penaltis"</formula>
    </cfRule>
  </conditionalFormatting>
  <conditionalFormatting sqref="L56:N56">
    <cfRule type="expression" dxfId="259" priority="48">
      <formula>$H$16="penaltis"</formula>
    </cfRule>
  </conditionalFormatting>
  <conditionalFormatting sqref="L57:N57">
    <cfRule type="expression" dxfId="258" priority="47">
      <formula>$H$17="penaltis"</formula>
    </cfRule>
  </conditionalFormatting>
  <conditionalFormatting sqref="L58:N58">
    <cfRule type="expression" dxfId="257" priority="46">
      <formula>$H$18="penaltis"</formula>
    </cfRule>
  </conditionalFormatting>
  <conditionalFormatting sqref="L59:N59">
    <cfRule type="expression" dxfId="256" priority="45">
      <formula>$H$19="penaltis"</formula>
    </cfRule>
  </conditionalFormatting>
  <conditionalFormatting sqref="L60:N60">
    <cfRule type="expression" dxfId="255" priority="44">
      <formula>$H$20="penaltis"</formula>
    </cfRule>
  </conditionalFormatting>
  <conditionalFormatting sqref="L61:N61">
    <cfRule type="expression" dxfId="254" priority="43">
      <formula>$H$21="penaltis"</formula>
    </cfRule>
  </conditionalFormatting>
  <conditionalFormatting sqref="N63">
    <cfRule type="expression" dxfId="253" priority="42">
      <formula>$H$23="penaltis"</formula>
    </cfRule>
  </conditionalFormatting>
  <conditionalFormatting sqref="N64">
    <cfRule type="expression" dxfId="252" priority="41" stopIfTrue="1">
      <formula>$H$24="penaltis"</formula>
    </cfRule>
  </conditionalFormatting>
  <conditionalFormatting sqref="N65">
    <cfRule type="expression" dxfId="251" priority="40" stopIfTrue="1">
      <formula>$H$25="penaltis"</formula>
    </cfRule>
  </conditionalFormatting>
  <conditionalFormatting sqref="N66">
    <cfRule type="expression" dxfId="250" priority="39" stopIfTrue="1">
      <formula>$H$26="penaltis"</formula>
    </cfRule>
  </conditionalFormatting>
  <conditionalFormatting sqref="N68">
    <cfRule type="expression" dxfId="249" priority="38" stopIfTrue="1">
      <formula>$H$28="penaltis"</formula>
    </cfRule>
  </conditionalFormatting>
  <conditionalFormatting sqref="N69">
    <cfRule type="expression" dxfId="248" priority="37" stopIfTrue="1">
      <formula>$H$29="penaltis"</formula>
    </cfRule>
  </conditionalFormatting>
  <conditionalFormatting sqref="N71">
    <cfRule type="expression" dxfId="247" priority="36" stopIfTrue="1">
      <formula>$H$31="penaltis"</formula>
    </cfRule>
  </conditionalFormatting>
  <conditionalFormatting sqref="N73">
    <cfRule type="expression" dxfId="246" priority="35" stopIfTrue="1">
      <formula>$H$33="penaltis"</formula>
    </cfRule>
  </conditionalFormatting>
  <conditionalFormatting sqref="L54:M54">
    <cfRule type="expression" dxfId="245" priority="34" stopIfTrue="1">
      <formula>$K$54="penaltis"</formula>
    </cfRule>
  </conditionalFormatting>
  <conditionalFormatting sqref="L55:M55">
    <cfRule type="expression" dxfId="244" priority="33" stopIfTrue="1">
      <formula>$K$55="penaltis"</formula>
    </cfRule>
  </conditionalFormatting>
  <conditionalFormatting sqref="L56:M56">
    <cfRule type="expression" dxfId="243" priority="32" stopIfTrue="1">
      <formula>$K$56="penaltis"</formula>
    </cfRule>
  </conditionalFormatting>
  <conditionalFormatting sqref="L57:M57">
    <cfRule type="expression" dxfId="242" priority="31" stopIfTrue="1">
      <formula>$K$57="penaltis"</formula>
    </cfRule>
  </conditionalFormatting>
  <conditionalFormatting sqref="L58:M58">
    <cfRule type="expression" dxfId="241" priority="30" stopIfTrue="1">
      <formula>$K$58="penaltis"</formula>
    </cfRule>
  </conditionalFormatting>
  <conditionalFormatting sqref="L59:M59">
    <cfRule type="expression" dxfId="240" priority="29" stopIfTrue="1">
      <formula>$K$59="penaltis"</formula>
    </cfRule>
  </conditionalFormatting>
  <conditionalFormatting sqref="L60:M60">
    <cfRule type="expression" dxfId="239" priority="28" stopIfTrue="1">
      <formula>$K$60="penaltis"</formula>
    </cfRule>
  </conditionalFormatting>
  <conditionalFormatting sqref="L61:M61">
    <cfRule type="expression" dxfId="238" priority="27" stopIfTrue="1">
      <formula>$K$61="penaltis"</formula>
    </cfRule>
  </conditionalFormatting>
  <conditionalFormatting sqref="L63:M63">
    <cfRule type="expression" dxfId="237" priority="26">
      <formula>$K$63="penaltis"</formula>
    </cfRule>
  </conditionalFormatting>
  <conditionalFormatting sqref="L64:M64">
    <cfRule type="expression" dxfId="236" priority="25">
      <formula>$K$64="penaltis"</formula>
    </cfRule>
  </conditionalFormatting>
  <conditionalFormatting sqref="L65:M65">
    <cfRule type="expression" dxfId="235" priority="24">
      <formula>$K$65="penaltis"</formula>
    </cfRule>
  </conditionalFormatting>
  <conditionalFormatting sqref="L66:M66">
    <cfRule type="expression" dxfId="234" priority="23">
      <formula>$K$66="penaltis"</formula>
    </cfRule>
  </conditionalFormatting>
  <conditionalFormatting sqref="L68:M68">
    <cfRule type="expression" dxfId="233" priority="22">
      <formula>$K$68="penaltis"</formula>
    </cfRule>
  </conditionalFormatting>
  <conditionalFormatting sqref="L69:M69">
    <cfRule type="expression" dxfId="232" priority="21">
      <formula>$K$69="penaltis"</formula>
    </cfRule>
  </conditionalFormatting>
  <conditionalFormatting sqref="L71:M71">
    <cfRule type="expression" dxfId="231" priority="20">
      <formula>$K$71="penaltis"</formula>
    </cfRule>
  </conditionalFormatting>
  <conditionalFormatting sqref="L73:M73">
    <cfRule type="expression" dxfId="230" priority="19">
      <formula>$K$73="penaltis"</formula>
    </cfRule>
  </conditionalFormatting>
  <conditionalFormatting sqref="Q4:X5">
    <cfRule type="expression" dxfId="229" priority="18">
      <formula>$R$8=12</formula>
    </cfRule>
  </conditionalFormatting>
  <conditionalFormatting sqref="Q10:X11">
    <cfRule type="expression" dxfId="228" priority="17">
      <formula>$R$14=12</formula>
    </cfRule>
  </conditionalFormatting>
  <conditionalFormatting sqref="Q16:X17">
    <cfRule type="expression" dxfId="227" priority="16">
      <formula>$R$20=12</formula>
    </cfRule>
  </conditionalFormatting>
  <conditionalFormatting sqref="Q22:X23">
    <cfRule type="expression" dxfId="226" priority="15">
      <formula>$R$26=12</formula>
    </cfRule>
  </conditionalFormatting>
  <conditionalFormatting sqref="Q28:X29">
    <cfRule type="expression" dxfId="225" priority="14">
      <formula>$R$32=12</formula>
    </cfRule>
  </conditionalFormatting>
  <conditionalFormatting sqref="Q34:X35">
    <cfRule type="expression" dxfId="224" priority="13">
      <formula>$R$38=12</formula>
    </cfRule>
  </conditionalFormatting>
  <conditionalFormatting sqref="Q40:X41">
    <cfRule type="expression" dxfId="223" priority="12">
      <formula>$R$44=12</formula>
    </cfRule>
  </conditionalFormatting>
  <conditionalFormatting sqref="Q46:X47">
    <cfRule type="expression" dxfId="222" priority="11">
      <formula>$R$50=12</formula>
    </cfRule>
  </conditionalFormatting>
  <conditionalFormatting sqref="F62:J73 B45 B9 B15 B21 B27 B33 B3 F3:F50 J3:J50">
    <cfRule type="cellIs" dxfId="221" priority="52" stopIfTrue="1" operator="equal">
      <formula>#REF!</formula>
    </cfRule>
  </conditionalFormatting>
  <conditionalFormatting sqref="B39">
    <cfRule type="cellIs" dxfId="220" priority="10" stopIfTrue="1" operator="equal">
      <formula>#REF!</formula>
    </cfRule>
  </conditionalFormatting>
  <conditionalFormatting sqref="F54:J61">
    <cfRule type="cellIs" dxfId="219" priority="9" stopIfTrue="1" operator="equal">
      <formula>$Z$7</formula>
    </cfRule>
  </conditionalFormatting>
  <conditionalFormatting sqref="O4:P5">
    <cfRule type="expression" dxfId="218" priority="8">
      <formula>$R$16=12</formula>
    </cfRule>
  </conditionalFormatting>
  <conditionalFormatting sqref="O10:P11">
    <cfRule type="expression" dxfId="217" priority="7">
      <formula>$R$22=12</formula>
    </cfRule>
  </conditionalFormatting>
  <conditionalFormatting sqref="O16:P17">
    <cfRule type="expression" dxfId="216" priority="6">
      <formula>$R$28=12</formula>
    </cfRule>
  </conditionalFormatting>
  <conditionalFormatting sqref="O22:P23">
    <cfRule type="expression" dxfId="215" priority="5">
      <formula>$R$34=12</formula>
    </cfRule>
  </conditionalFormatting>
  <conditionalFormatting sqref="O28:P29">
    <cfRule type="expression" dxfId="214" priority="4">
      <formula>$R$40=12</formula>
    </cfRule>
  </conditionalFormatting>
  <conditionalFormatting sqref="O34:P35">
    <cfRule type="expression" dxfId="213" priority="3">
      <formula>$R$46=12</formula>
    </cfRule>
  </conditionalFormatting>
  <conditionalFormatting sqref="O40:P41">
    <cfRule type="expression" dxfId="212" priority="2">
      <formula>$R$52=12</formula>
    </cfRule>
  </conditionalFormatting>
  <conditionalFormatting sqref="O46:P47">
    <cfRule type="expression" dxfId="211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 xr:uid="{00000000-0002-0000-1000-000000000000}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A1:HW117"/>
  <sheetViews>
    <sheetView topLeftCell="A17" workbookViewId="0">
      <selection activeCell="F3" sqref="F3:J50"/>
    </sheetView>
  </sheetViews>
  <sheetFormatPr defaultColWidth="0" defaultRowHeight="0" customHeight="1" zeroHeight="1" x14ac:dyDescent="0.2"/>
  <cols>
    <col min="1" max="1" width="6.3203125" customWidth="1"/>
    <col min="2" max="2" width="6.05078125" style="5" bestFit="1" customWidth="1"/>
    <col min="3" max="3" width="9.81640625" style="10" bestFit="1" customWidth="1"/>
    <col min="4" max="4" width="5.24609375" style="10" bestFit="1" customWidth="1"/>
    <col min="5" max="5" width="17.75390625" style="10" bestFit="1" customWidth="1"/>
    <col min="6" max="6" width="25.69140625" style="11" customWidth="1"/>
    <col min="7" max="7" width="2.6875" style="42" customWidth="1"/>
    <col min="8" max="8" width="2.6875" customWidth="1"/>
    <col min="9" max="9" width="2.6875" style="42" customWidth="1"/>
    <col min="10" max="10" width="25.69140625" style="12" customWidth="1"/>
    <col min="11" max="11" width="13.31640625" style="51" hidden="1" customWidth="1"/>
    <col min="12" max="13" width="3.2265625" customWidth="1"/>
    <col min="14" max="14" width="2.82421875" style="1" customWidth="1"/>
    <col min="15" max="15" width="2.015625" style="109" bestFit="1" customWidth="1"/>
    <col min="16" max="16" width="26.09765625" style="113" customWidth="1"/>
    <col min="17" max="17" width="4.70703125" style="322" customWidth="1"/>
    <col min="18" max="18" width="3.765625" style="322" customWidth="1"/>
    <col min="19" max="19" width="1.8828125" style="322" customWidth="1"/>
    <col min="20" max="20" width="2.28515625" style="322" customWidth="1"/>
    <col min="21" max="21" width="3.765625" style="322" customWidth="1"/>
    <col min="22" max="22" width="2.015625" style="322" customWidth="1"/>
    <col min="23" max="24" width="3.765625" style="322" hidden="1" customWidth="1"/>
    <col min="25" max="25" width="12.9140625" style="1" customWidth="1"/>
    <col min="26" max="36" width="9.14453125" hidden="1" customWidth="1"/>
    <col min="37" max="37" width="8.47265625" hidden="1" customWidth="1"/>
    <col min="38" max="38" width="8.7421875" hidden="1" customWidth="1"/>
    <col min="39" max="39" width="10.0859375" hidden="1" customWidth="1"/>
    <col min="40" max="230" width="9.14453125" hidden="1" customWidth="1"/>
    <col min="231" max="231" width="7.26171875" hidden="1" customWidth="1"/>
    <col min="232" max="16384" width="9.14453125" hidden="1"/>
  </cols>
  <sheetData>
    <row r="1" spans="1:25" s="58" customFormat="1" ht="15" customHeight="1" x14ac:dyDescent="0.2">
      <c r="B1" s="496" t="s">
        <v>94</v>
      </c>
      <c r="C1" s="498" t="s">
        <v>95</v>
      </c>
      <c r="D1" s="498" t="s">
        <v>74</v>
      </c>
      <c r="E1" s="500" t="s">
        <v>75</v>
      </c>
      <c r="F1" s="487" t="s">
        <v>96</v>
      </c>
      <c r="G1" s="488"/>
      <c r="H1" s="488"/>
      <c r="I1" s="488"/>
      <c r="J1" s="489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 x14ac:dyDescent="0.25">
      <c r="B2" s="497"/>
      <c r="C2" s="499"/>
      <c r="D2" s="499"/>
      <c r="E2" s="501"/>
      <c r="F2" s="490"/>
      <c r="G2" s="491"/>
      <c r="H2" s="491"/>
      <c r="I2" s="491"/>
      <c r="J2" s="492"/>
      <c r="K2" s="51"/>
      <c r="L2" s="493"/>
      <c r="M2" s="494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 x14ac:dyDescent="0.25">
      <c r="A3" s="60" t="s">
        <v>284</v>
      </c>
      <c r="B3" s="48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74">
        <v>1</v>
      </c>
      <c r="H3" s="356" t="s">
        <v>0</v>
      </c>
      <c r="I3" s="386">
        <v>3</v>
      </c>
      <c r="J3" s="77" t="s">
        <v>142</v>
      </c>
      <c r="K3" s="52"/>
      <c r="L3" s="495">
        <f>IF(OR(Copa2022!F11="",G3=""),"",
IF(AND(Copa2022!F11=G3,Copa2022!H11=I3),Regras!$J$25,IF(Y3=Regras!F25,Regras!$J$26,0)))</f>
        <v>5</v>
      </c>
      <c r="M3" s="495"/>
      <c r="N3" s="318"/>
      <c r="O3" s="502" t="s">
        <v>220</v>
      </c>
      <c r="P3" s="526"/>
      <c r="Q3" s="324" t="str">
        <f>IF(Copa2022!F16="","",IF(Copa2022!O12=Girlayne!P4,Regras!$J$27,0))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 x14ac:dyDescent="0.2">
      <c r="A4" s="60" t="s">
        <v>285</v>
      </c>
      <c r="B4" s="485"/>
      <c r="C4" s="171">
        <v>44886</v>
      </c>
      <c r="D4" s="194" t="s">
        <v>134</v>
      </c>
      <c r="E4" s="172" t="s">
        <v>157</v>
      </c>
      <c r="F4" s="78" t="s">
        <v>131</v>
      </c>
      <c r="G4" s="375">
        <v>1</v>
      </c>
      <c r="H4" s="358" t="s">
        <v>0</v>
      </c>
      <c r="I4" s="387">
        <v>2</v>
      </c>
      <c r="J4" s="81" t="s">
        <v>140</v>
      </c>
      <c r="K4" s="52"/>
      <c r="L4" s="495">
        <f>IF(OR(Copa2022!F12="",G4=""),"",
IF(AND(Copa2022!F12=G4,Copa2022!H12=I4),Regras!$J$25,IF(Y4=Regras!F26,Regras!$J$26,0)))</f>
        <v>5</v>
      </c>
      <c r="M4" s="495"/>
      <c r="N4" s="318"/>
      <c r="O4" s="378">
        <v>1</v>
      </c>
      <c r="P4" s="377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 x14ac:dyDescent="0.25">
      <c r="A5" s="60" t="s">
        <v>286</v>
      </c>
      <c r="B5" s="485"/>
      <c r="C5" s="171">
        <v>44890</v>
      </c>
      <c r="D5" s="194" t="s">
        <v>135</v>
      </c>
      <c r="E5" s="172" t="s">
        <v>157</v>
      </c>
      <c r="F5" s="78" t="s">
        <v>141</v>
      </c>
      <c r="G5" s="375">
        <v>0</v>
      </c>
      <c r="H5" s="358" t="s">
        <v>0</v>
      </c>
      <c r="I5" s="387">
        <v>2</v>
      </c>
      <c r="J5" s="81" t="s">
        <v>131</v>
      </c>
      <c r="K5" s="52"/>
      <c r="L5" s="495" t="str">
        <f>IF(OR(Copa2022!F13="",G5=""),"",
IF(AND(Copa2022!F13=G5,Copa2022!H13=I5),Regras!$J$25,IF(Y5=Regras!F27,Regras!$J$26,0)))</f>
        <v/>
      </c>
      <c r="M5" s="495"/>
      <c r="N5" s="318"/>
      <c r="O5" s="381">
        <v>2</v>
      </c>
      <c r="P5" s="382" t="s">
        <v>142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 x14ac:dyDescent="0.2">
      <c r="A6" s="60" t="s">
        <v>287</v>
      </c>
      <c r="B6" s="485"/>
      <c r="C6" s="171">
        <v>44890</v>
      </c>
      <c r="D6" s="194" t="s">
        <v>134</v>
      </c>
      <c r="E6" s="172" t="s">
        <v>143</v>
      </c>
      <c r="F6" s="78" t="s">
        <v>140</v>
      </c>
      <c r="G6" s="375">
        <v>2</v>
      </c>
      <c r="H6" s="358" t="s">
        <v>0</v>
      </c>
      <c r="I6" s="387">
        <v>1</v>
      </c>
      <c r="J6" s="81" t="s">
        <v>142</v>
      </c>
      <c r="K6" s="52"/>
      <c r="L6" s="495" t="str">
        <f>IF(OR(Copa2022!F14="",G6=""),"",
IF(AND(Copa2022!F14=G6,Copa2022!H14=I6),Regras!$J$25,IF(Y6=Regras!F28,Regras!$J$26,0)))</f>
        <v/>
      </c>
      <c r="M6" s="495"/>
      <c r="N6" s="318"/>
      <c r="O6" s="378">
        <v>3</v>
      </c>
      <c r="P6" s="377" t="s">
        <v>131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 x14ac:dyDescent="0.25">
      <c r="A7" s="60" t="s">
        <v>288</v>
      </c>
      <c r="B7" s="485"/>
      <c r="C7" s="171">
        <v>44894</v>
      </c>
      <c r="D7" s="194" t="s">
        <v>132</v>
      </c>
      <c r="E7" s="172" t="s">
        <v>161</v>
      </c>
      <c r="F7" s="78" t="s">
        <v>140</v>
      </c>
      <c r="G7" s="375">
        <v>3</v>
      </c>
      <c r="H7" s="358" t="s">
        <v>0</v>
      </c>
      <c r="I7" s="387">
        <v>0</v>
      </c>
      <c r="J7" s="81" t="s">
        <v>141</v>
      </c>
      <c r="K7" s="52"/>
      <c r="L7" s="495" t="str">
        <f>IF(OR(Copa2022!F15="",G7=""),"",
IF(AND(Copa2022!F15=G7,Copa2022!H15=I7),Regras!$J$25,IF(Y7=Regras!F29,Regras!$J$26,0)))</f>
        <v/>
      </c>
      <c r="M7" s="495"/>
      <c r="N7" s="318"/>
      <c r="O7" s="379">
        <v>4</v>
      </c>
      <c r="P7" s="380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 x14ac:dyDescent="0.25">
      <c r="A8" s="60" t="s">
        <v>289</v>
      </c>
      <c r="B8" s="486"/>
      <c r="C8" s="173">
        <v>44590</v>
      </c>
      <c r="D8" s="195" t="s">
        <v>132</v>
      </c>
      <c r="E8" s="174" t="s">
        <v>143</v>
      </c>
      <c r="F8" s="86" t="s">
        <v>142</v>
      </c>
      <c r="G8" s="376">
        <v>1</v>
      </c>
      <c r="H8" s="362" t="s">
        <v>0</v>
      </c>
      <c r="I8" s="388">
        <v>1</v>
      </c>
      <c r="J8" s="89" t="s">
        <v>131</v>
      </c>
      <c r="K8" s="52"/>
      <c r="L8" s="495" t="str">
        <f>IF(OR(Copa2022!F16="",G8=""),"",
IF(AND(Copa2022!F16=G8,Copa2022!H16=I8),Regras!$J$25,IF(Y8=Regras!F30,Regras!$J$26,0)))</f>
        <v/>
      </c>
      <c r="M8" s="495"/>
      <c r="N8" s="318"/>
      <c r="O8" s="385"/>
      <c r="P8" s="38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 x14ac:dyDescent="0.25">
      <c r="A9" s="60" t="s">
        <v>290</v>
      </c>
      <c r="B9" s="48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59">
        <v>3</v>
      </c>
      <c r="H9" s="360" t="s">
        <v>0</v>
      </c>
      <c r="I9" s="368">
        <v>1</v>
      </c>
      <c r="J9" s="85" t="s">
        <v>123</v>
      </c>
      <c r="K9" s="52"/>
      <c r="L9" s="495">
        <f>IF(OR(Copa2022!F17="",G9=""),"",
IF(AND(Copa2022!F17=G9,Copa2022!H17=I9),Regras!$J$25,IF(Y9=Regras!F31,Regras!$J$26,0)))</f>
        <v>5</v>
      </c>
      <c r="M9" s="495"/>
      <c r="N9" s="318"/>
      <c r="O9" s="502" t="s">
        <v>48</v>
      </c>
      <c r="P9" s="503"/>
      <c r="Q9" s="324" t="str">
        <f>IF(Copa2022!F22="","",IF(Copa2022!O18=Girlayne!P10,Regras!$J$27,0))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 x14ac:dyDescent="0.2">
      <c r="A10" s="60" t="s">
        <v>291</v>
      </c>
      <c r="B10" s="485"/>
      <c r="C10" s="171">
        <v>44886</v>
      </c>
      <c r="D10" s="194" t="s">
        <v>136</v>
      </c>
      <c r="E10" s="177" t="s">
        <v>162</v>
      </c>
      <c r="F10" s="78" t="s">
        <v>145</v>
      </c>
      <c r="G10" s="375">
        <v>2</v>
      </c>
      <c r="H10" s="358" t="s">
        <v>0</v>
      </c>
      <c r="I10" s="387">
        <v>1</v>
      </c>
      <c r="J10" s="81" t="s">
        <v>158</v>
      </c>
      <c r="K10" s="52"/>
      <c r="L10" s="495">
        <f>IF(OR(Copa2022!F18="",G10=""),"",
IF(AND(Copa2022!F18=G10,Copa2022!H18=I10),Regras!$J$25,IF(Y10=Regras!F32,Regras!$J$26,0)))</f>
        <v>0</v>
      </c>
      <c r="M10" s="495"/>
      <c r="N10" s="318"/>
      <c r="O10" s="378">
        <v>1</v>
      </c>
      <c r="P10" s="377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Estados Unidos</v>
      </c>
    </row>
    <row r="11" spans="1:25" s="60" customFormat="1" ht="35.1" customHeight="1" thickBot="1" x14ac:dyDescent="0.25">
      <c r="A11" s="60" t="s">
        <v>292</v>
      </c>
      <c r="B11" s="485"/>
      <c r="C11" s="171">
        <v>44890</v>
      </c>
      <c r="D11" s="194" t="s">
        <v>133</v>
      </c>
      <c r="E11" s="177" t="s">
        <v>162</v>
      </c>
      <c r="F11" s="78" t="s">
        <v>158</v>
      </c>
      <c r="G11" s="375">
        <v>1</v>
      </c>
      <c r="H11" s="358" t="s">
        <v>0</v>
      </c>
      <c r="I11" s="387">
        <v>2</v>
      </c>
      <c r="J11" s="81" t="s">
        <v>123</v>
      </c>
      <c r="K11" s="52"/>
      <c r="L11" s="495" t="str">
        <f>IF(OR(Copa2022!F19="",G11=""),"",
IF(AND(Copa2022!F19=G11,Copa2022!H19=I11),Regras!$J$25,IF(Y11=Regras!F33,Regras!$J$26,0)))</f>
        <v/>
      </c>
      <c r="M11" s="495"/>
      <c r="N11" s="318"/>
      <c r="O11" s="381">
        <v>2</v>
      </c>
      <c r="P11" s="382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 x14ac:dyDescent="0.2">
      <c r="A12" s="60" t="s">
        <v>293</v>
      </c>
      <c r="B12" s="485"/>
      <c r="C12" s="171">
        <v>44890</v>
      </c>
      <c r="D12" s="194" t="s">
        <v>136</v>
      </c>
      <c r="E12" s="177" t="s">
        <v>161</v>
      </c>
      <c r="F12" s="78" t="s">
        <v>6</v>
      </c>
      <c r="G12" s="375">
        <v>2</v>
      </c>
      <c r="H12" s="358" t="s">
        <v>0</v>
      </c>
      <c r="I12" s="387">
        <v>1</v>
      </c>
      <c r="J12" s="81" t="s">
        <v>145</v>
      </c>
      <c r="K12" s="52"/>
      <c r="L12" s="495" t="str">
        <f>IF(OR(Copa2022!F20="",G12=""),"",
IF(AND(Copa2022!F20=G12,Copa2022!H20=I12),Regras!$J$25,IF(Y12=Regras!F34,Regras!$J$26,0)))</f>
        <v/>
      </c>
      <c r="M12" s="495"/>
      <c r="N12" s="318"/>
      <c r="O12" s="378">
        <v>3</v>
      </c>
      <c r="P12" s="377" t="s">
        <v>123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 x14ac:dyDescent="0.25">
      <c r="A13" s="60" t="s">
        <v>294</v>
      </c>
      <c r="B13" s="485"/>
      <c r="C13" s="171">
        <v>44894</v>
      </c>
      <c r="D13" s="194" t="s">
        <v>136</v>
      </c>
      <c r="E13" s="177" t="s">
        <v>162</v>
      </c>
      <c r="F13" s="78" t="s">
        <v>158</v>
      </c>
      <c r="G13" s="375">
        <v>1</v>
      </c>
      <c r="H13" s="358" t="s">
        <v>0</v>
      </c>
      <c r="I13" s="387">
        <v>3</v>
      </c>
      <c r="J13" s="81" t="s">
        <v>6</v>
      </c>
      <c r="K13" s="52"/>
      <c r="L13" s="495" t="str">
        <f>IF(OR(Copa2022!F21="",G13=""),"",
IF(AND(Copa2022!F21=G13,Copa2022!H21=I13),Regras!$J$25,IF(Y13=Regras!F35,Regras!$J$26,0)))</f>
        <v/>
      </c>
      <c r="M13" s="495"/>
      <c r="N13" s="318"/>
      <c r="O13" s="379">
        <v>4</v>
      </c>
      <c r="P13" s="380" t="s">
        <v>158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 x14ac:dyDescent="0.25">
      <c r="A14" s="60" t="s">
        <v>295</v>
      </c>
      <c r="B14" s="486"/>
      <c r="C14" s="173">
        <v>44894</v>
      </c>
      <c r="D14" s="195" t="s">
        <v>136</v>
      </c>
      <c r="E14" s="178" t="s">
        <v>157</v>
      </c>
      <c r="F14" s="90" t="s">
        <v>123</v>
      </c>
      <c r="G14" s="363">
        <v>1</v>
      </c>
      <c r="H14" s="364" t="s">
        <v>0</v>
      </c>
      <c r="I14" s="369">
        <v>1</v>
      </c>
      <c r="J14" s="93" t="s">
        <v>145</v>
      </c>
      <c r="K14" s="52"/>
      <c r="L14" s="495" t="str">
        <f>IF(OR(Copa2022!F22="",G14=""),"",
IF(AND(Copa2022!F22=G14,Copa2022!H22=I14),Regras!$J$25,IF(Y14=Regras!F36,Regras!$J$26,0)))</f>
        <v/>
      </c>
      <c r="M14" s="495"/>
      <c r="N14" s="318"/>
      <c r="O14" s="373"/>
      <c r="P14" s="377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 x14ac:dyDescent="0.25">
      <c r="A15" s="60" t="s">
        <v>296</v>
      </c>
      <c r="B15" s="48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74">
        <v>3</v>
      </c>
      <c r="H15" s="356" t="s">
        <v>0</v>
      </c>
      <c r="I15" s="386">
        <v>0</v>
      </c>
      <c r="J15" s="77" t="s">
        <v>125</v>
      </c>
      <c r="K15" s="52"/>
      <c r="L15" s="495">
        <f>IF(OR(Copa2022!F23="",G15=""),"",
IF(AND(Copa2022!F23=G15,Copa2022!H23=I15),Regras!$J$25,IF(Y15=Regras!F37,Regras!$J$26,0)))</f>
        <v>0</v>
      </c>
      <c r="M15" s="495"/>
      <c r="N15" s="318"/>
      <c r="O15" s="502" t="s">
        <v>50</v>
      </c>
      <c r="P15" s="503"/>
      <c r="Q15" s="324" t="str">
        <f>IF(Copa2022!F28="","",IF(Copa2022!O24=Girlayne!P16,Regras!$J$27,0))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 x14ac:dyDescent="0.2">
      <c r="A16" s="60" t="s">
        <v>297</v>
      </c>
      <c r="B16" s="485"/>
      <c r="C16" s="171">
        <v>44887</v>
      </c>
      <c r="D16" s="194" t="s">
        <v>134</v>
      </c>
      <c r="E16" s="172" t="s">
        <v>163</v>
      </c>
      <c r="F16" s="78" t="s">
        <v>1</v>
      </c>
      <c r="G16" s="375">
        <v>2</v>
      </c>
      <c r="H16" s="358" t="s">
        <v>0</v>
      </c>
      <c r="I16" s="387">
        <v>1</v>
      </c>
      <c r="J16" s="81" t="s">
        <v>130</v>
      </c>
      <c r="K16" s="52"/>
      <c r="L16" s="495">
        <f>IF(OR(Copa2022!F24="",G16=""),"",
IF(AND(Copa2022!F24=G16,Copa2022!H24=I16),Regras!$J$25,IF(Y16=Regras!F38,Regras!$J$26,0)))</f>
        <v>0</v>
      </c>
      <c r="M16" s="495"/>
      <c r="N16" s="318"/>
      <c r="O16" s="378">
        <v>1</v>
      </c>
      <c r="P16" s="377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México</v>
      </c>
    </row>
    <row r="17" spans="1:25" s="60" customFormat="1" ht="35.1" customHeight="1" thickBot="1" x14ac:dyDescent="0.25">
      <c r="A17" s="60" t="s">
        <v>298</v>
      </c>
      <c r="B17" s="485"/>
      <c r="C17" s="171">
        <v>44891</v>
      </c>
      <c r="D17" s="194" t="s">
        <v>135</v>
      </c>
      <c r="E17" s="172" t="s">
        <v>148</v>
      </c>
      <c r="F17" s="78" t="s">
        <v>130</v>
      </c>
      <c r="G17" s="375">
        <v>2</v>
      </c>
      <c r="H17" s="358" t="s">
        <v>0</v>
      </c>
      <c r="I17" s="387">
        <v>1</v>
      </c>
      <c r="J17" s="81" t="s">
        <v>125</v>
      </c>
      <c r="K17" s="52"/>
      <c r="L17" s="495" t="str">
        <f>IF(OR(Copa2022!F25="",G17=""),"",
IF(AND(Copa2022!F25=G17,Copa2022!H25=I17),Regras!$J$25,IF(Y17=Regras!F39,Regras!$J$26,0)))</f>
        <v/>
      </c>
      <c r="M17" s="495"/>
      <c r="N17" s="318"/>
      <c r="O17" s="381">
        <v>2</v>
      </c>
      <c r="P17" s="382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 x14ac:dyDescent="0.2">
      <c r="A18" s="60" t="s">
        <v>299</v>
      </c>
      <c r="B18" s="485"/>
      <c r="C18" s="171">
        <v>44891</v>
      </c>
      <c r="D18" s="194" t="s">
        <v>136</v>
      </c>
      <c r="E18" s="172" t="s">
        <v>146</v>
      </c>
      <c r="F18" s="78" t="s">
        <v>4</v>
      </c>
      <c r="G18" s="375">
        <v>2</v>
      </c>
      <c r="H18" s="358" t="s">
        <v>0</v>
      </c>
      <c r="I18" s="387">
        <v>2</v>
      </c>
      <c r="J18" s="81" t="s">
        <v>1</v>
      </c>
      <c r="K18" s="52"/>
      <c r="L18" s="495" t="str">
        <f>IF(OR(Copa2022!F26="",G18=""),"",
IF(AND(Copa2022!F26=G18,Copa2022!H26=I18),Regras!$J$25,IF(Y18=Regras!F40,Regras!$J$26,0)))</f>
        <v/>
      </c>
      <c r="M18" s="495"/>
      <c r="N18" s="318"/>
      <c r="O18" s="378">
        <v>3</v>
      </c>
      <c r="P18" s="377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 x14ac:dyDescent="0.25">
      <c r="A19" s="60" t="s">
        <v>300</v>
      </c>
      <c r="B19" s="485"/>
      <c r="C19" s="171">
        <v>44895</v>
      </c>
      <c r="D19" s="194" t="s">
        <v>136</v>
      </c>
      <c r="E19" s="172" t="s">
        <v>163</v>
      </c>
      <c r="F19" s="78" t="s">
        <v>130</v>
      </c>
      <c r="G19" s="375">
        <v>1</v>
      </c>
      <c r="H19" s="358" t="s">
        <v>0</v>
      </c>
      <c r="I19" s="387">
        <v>2</v>
      </c>
      <c r="J19" s="81" t="s">
        <v>4</v>
      </c>
      <c r="K19" s="52"/>
      <c r="L19" s="495" t="str">
        <f>IF(OR(Copa2022!F27="",G19=""),"",
IF(AND(Copa2022!F27=G19,Copa2022!H27=I19),Regras!$J$25,IF(Y19=Regras!F41,Regras!$J$26,0)))</f>
        <v/>
      </c>
      <c r="M19" s="495"/>
      <c r="N19" s="318"/>
      <c r="O19" s="379">
        <v>4</v>
      </c>
      <c r="P19" s="380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 x14ac:dyDescent="0.25">
      <c r="A20" s="60" t="s">
        <v>301</v>
      </c>
      <c r="B20" s="486"/>
      <c r="C20" s="173">
        <v>44895</v>
      </c>
      <c r="D20" s="195" t="s">
        <v>136</v>
      </c>
      <c r="E20" s="174" t="s">
        <v>146</v>
      </c>
      <c r="F20" s="86" t="s">
        <v>125</v>
      </c>
      <c r="G20" s="376">
        <v>0</v>
      </c>
      <c r="H20" s="362" t="s">
        <v>0</v>
      </c>
      <c r="I20" s="388">
        <v>2</v>
      </c>
      <c r="J20" s="89" t="s">
        <v>1</v>
      </c>
      <c r="K20" s="52"/>
      <c r="L20" s="495" t="str">
        <f>IF(OR(Copa2022!F28="",G20=""),"",
IF(AND(Copa2022!F28=G20,Copa2022!H28=I20),Regras!$J$25,IF(Y20=Regras!F42,Regras!$J$26,0)))</f>
        <v/>
      </c>
      <c r="M20" s="495"/>
      <c r="N20" s="318"/>
      <c r="O20" s="373"/>
      <c r="P20" s="377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 x14ac:dyDescent="0.25">
      <c r="A21" s="60" t="s">
        <v>302</v>
      </c>
      <c r="B21" s="48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59">
        <v>2</v>
      </c>
      <c r="H21" s="360" t="s">
        <v>0</v>
      </c>
      <c r="I21" s="368">
        <v>0</v>
      </c>
      <c r="J21" s="85" t="s">
        <v>129</v>
      </c>
      <c r="K21" s="52"/>
      <c r="L21" s="495">
        <f>IF(OR(Copa2022!F29="",G21=""),"",
IF(AND(Copa2022!F29=G21,Copa2022!H29=I21),Regras!$J$25,IF(Y21=Regras!F43,Regras!$J$26,0)))</f>
        <v>0</v>
      </c>
      <c r="M21" s="495"/>
      <c r="N21" s="318"/>
      <c r="O21" s="502" t="s">
        <v>51</v>
      </c>
      <c r="P21" s="503"/>
      <c r="Q21" s="324" t="str">
        <f>IF(Copa2022!F34="","",IF(Copa2022!O30=Girlayne!P22,Regras!$J$27,0))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 x14ac:dyDescent="0.2">
      <c r="A22" s="60" t="s">
        <v>303</v>
      </c>
      <c r="B22" s="485"/>
      <c r="C22" s="171">
        <v>44887</v>
      </c>
      <c r="D22" s="194" t="s">
        <v>136</v>
      </c>
      <c r="E22" s="177" t="s">
        <v>164</v>
      </c>
      <c r="F22" s="78" t="s">
        <v>3</v>
      </c>
      <c r="G22" s="375">
        <v>3</v>
      </c>
      <c r="H22" s="358" t="s">
        <v>0</v>
      </c>
      <c r="I22" s="387">
        <v>0</v>
      </c>
      <c r="J22" s="81" t="s">
        <v>159</v>
      </c>
      <c r="K22" s="52"/>
      <c r="L22" s="495">
        <f>IF(OR(Copa2022!F30="",G22=""),"",
IF(AND(Copa2022!F30=G22,Copa2022!H30=I22),Regras!$J$25,IF(Y22=Regras!F44,Regras!$J$26,0)))</f>
        <v>5</v>
      </c>
      <c r="M22" s="495"/>
      <c r="N22" s="318"/>
      <c r="O22" s="378">
        <v>1</v>
      </c>
      <c r="P22" s="377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 x14ac:dyDescent="0.25">
      <c r="A23" s="60" t="s">
        <v>304</v>
      </c>
      <c r="B23" s="485"/>
      <c r="C23" s="171">
        <v>44891</v>
      </c>
      <c r="D23" s="194" t="s">
        <v>133</v>
      </c>
      <c r="E23" s="177" t="s">
        <v>164</v>
      </c>
      <c r="F23" s="78" t="s">
        <v>129</v>
      </c>
      <c r="G23" s="375">
        <v>1</v>
      </c>
      <c r="H23" s="358" t="s">
        <v>0</v>
      </c>
      <c r="I23" s="387">
        <v>1</v>
      </c>
      <c r="J23" s="81" t="s">
        <v>159</v>
      </c>
      <c r="K23" s="52"/>
      <c r="L23" s="495" t="str">
        <f>IF(OR(Copa2022!F31="",G23=""),"",
IF(AND(Copa2022!F31=G23,Copa2022!H31=I23),Regras!$J$25,IF(Y23=Regras!F45,Regras!$J$26,0)))</f>
        <v/>
      </c>
      <c r="M23" s="495"/>
      <c r="N23" s="318"/>
      <c r="O23" s="381">
        <v>2</v>
      </c>
      <c r="P23" s="382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 x14ac:dyDescent="0.2">
      <c r="A24" s="60" t="s">
        <v>305</v>
      </c>
      <c r="B24" s="485"/>
      <c r="C24" s="171">
        <v>44891</v>
      </c>
      <c r="D24" s="194" t="s">
        <v>134</v>
      </c>
      <c r="E24" s="177" t="s">
        <v>163</v>
      </c>
      <c r="F24" s="78" t="s">
        <v>3</v>
      </c>
      <c r="G24" s="375">
        <v>2</v>
      </c>
      <c r="H24" s="358" t="s">
        <v>0</v>
      </c>
      <c r="I24" s="387">
        <v>1</v>
      </c>
      <c r="J24" s="81" t="s">
        <v>127</v>
      </c>
      <c r="K24" s="52"/>
      <c r="L24" s="495" t="str">
        <f>IF(OR(Copa2022!F32="",G24=""),"",
IF(AND(Copa2022!F32=G24,Copa2022!H32=I24),Regras!$J$25,IF(Y24=Regras!F46,Regras!$J$26,0)))</f>
        <v/>
      </c>
      <c r="M24" s="495"/>
      <c r="N24" s="318"/>
      <c r="O24" s="378">
        <v>3</v>
      </c>
      <c r="P24" s="377" t="s">
        <v>129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 x14ac:dyDescent="0.25">
      <c r="A25" s="60" t="s">
        <v>306</v>
      </c>
      <c r="B25" s="485"/>
      <c r="C25" s="171">
        <v>44895</v>
      </c>
      <c r="D25" s="194" t="s">
        <v>132</v>
      </c>
      <c r="E25" s="177" t="s">
        <v>148</v>
      </c>
      <c r="F25" s="78" t="s">
        <v>129</v>
      </c>
      <c r="G25" s="375">
        <v>0</v>
      </c>
      <c r="H25" s="358" t="s">
        <v>0</v>
      </c>
      <c r="I25" s="387">
        <v>3</v>
      </c>
      <c r="J25" s="81" t="s">
        <v>3</v>
      </c>
      <c r="K25" s="52"/>
      <c r="L25" s="495" t="str">
        <f>IF(OR(Copa2022!F33="",G25=""),"",
IF(AND(Copa2022!F33=G25,Copa2022!H33=I25),Regras!$J$25,IF(Y25=Regras!F47,Regras!$J$26,0)))</f>
        <v/>
      </c>
      <c r="M25" s="495"/>
      <c r="N25" s="318"/>
      <c r="O25" s="379" t="s">
        <v>105</v>
      </c>
      <c r="P25" s="380" t="s">
        <v>159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 x14ac:dyDescent="0.25">
      <c r="A26" s="60" t="s">
        <v>307</v>
      </c>
      <c r="B26" s="486"/>
      <c r="C26" s="173">
        <v>44895</v>
      </c>
      <c r="D26" s="195" t="s">
        <v>132</v>
      </c>
      <c r="E26" s="178" t="s">
        <v>164</v>
      </c>
      <c r="F26" s="90" t="s">
        <v>159</v>
      </c>
      <c r="G26" s="363">
        <v>0</v>
      </c>
      <c r="H26" s="364" t="s">
        <v>0</v>
      </c>
      <c r="I26" s="369">
        <v>2</v>
      </c>
      <c r="J26" s="93" t="s">
        <v>127</v>
      </c>
      <c r="K26" s="52"/>
      <c r="L26" s="495" t="str">
        <f>IF(OR(Copa2022!F34="",G26=""),"",
IF(AND(Copa2022!F34=G26,Copa2022!H34=I26),Regras!$J$25,IF(Y26=Regras!F48,Regras!$J$26,0)))</f>
        <v/>
      </c>
      <c r="M26" s="495"/>
      <c r="N26" s="318"/>
      <c r="O26" s="373"/>
      <c r="P26" s="377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 x14ac:dyDescent="0.25">
      <c r="A27" s="60" t="s">
        <v>308</v>
      </c>
      <c r="B27" s="48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74">
        <v>4</v>
      </c>
      <c r="H27" s="356" t="s">
        <v>0</v>
      </c>
      <c r="I27" s="386">
        <v>1</v>
      </c>
      <c r="J27" s="77" t="s">
        <v>8</v>
      </c>
      <c r="K27" s="52"/>
      <c r="L27" s="495" t="str">
        <f>IF(OR(Copa2022!F35="",G27=""),"",
IF(AND(Copa2022!F35=G27,Copa2022!H35=I27),Regras!$J$25,IF(Y27=Regras!F49,Regras!$J$26,0)))</f>
        <v/>
      </c>
      <c r="M27" s="495"/>
      <c r="N27" s="318"/>
      <c r="O27" s="502" t="s">
        <v>53</v>
      </c>
      <c r="P27" s="503"/>
      <c r="Q27" s="324" t="str">
        <f>IF(Copa2022!F40="","",IF(Copa2022!O36=Girlayne!P28,Regras!$J$27,0))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 x14ac:dyDescent="0.2">
      <c r="A28" s="60" t="s">
        <v>309</v>
      </c>
      <c r="B28" s="485"/>
      <c r="C28" s="171">
        <v>44888</v>
      </c>
      <c r="D28" s="194" t="s">
        <v>134</v>
      </c>
      <c r="E28" s="172" t="s">
        <v>157</v>
      </c>
      <c r="F28" s="78" t="s">
        <v>11</v>
      </c>
      <c r="G28" s="375">
        <v>2</v>
      </c>
      <c r="H28" s="358" t="s">
        <v>0</v>
      </c>
      <c r="I28" s="387">
        <v>1</v>
      </c>
      <c r="J28" s="81" t="s">
        <v>160</v>
      </c>
      <c r="K28" s="52"/>
      <c r="L28" s="495" t="str">
        <f>IF(OR(Copa2022!F36="",G28=""),"",
IF(AND(Copa2022!F36=G28,Copa2022!H36=I28),Regras!$J$25,IF(Y28=Regras!F50,Regras!$J$26,0)))</f>
        <v/>
      </c>
      <c r="M28" s="495"/>
      <c r="N28" s="318"/>
      <c r="O28" s="378">
        <v>1</v>
      </c>
      <c r="P28" s="377" t="s">
        <v>11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 x14ac:dyDescent="0.25">
      <c r="A29" s="60" t="s">
        <v>310</v>
      </c>
      <c r="B29" s="485"/>
      <c r="C29" s="171">
        <v>44892</v>
      </c>
      <c r="D29" s="194" t="s">
        <v>133</v>
      </c>
      <c r="E29" s="172" t="s">
        <v>162</v>
      </c>
      <c r="F29" s="78" t="s">
        <v>8</v>
      </c>
      <c r="G29" s="375">
        <v>2</v>
      </c>
      <c r="H29" s="358" t="s">
        <v>0</v>
      </c>
      <c r="I29" s="387">
        <v>2</v>
      </c>
      <c r="J29" s="81" t="s">
        <v>160</v>
      </c>
      <c r="K29" s="52"/>
      <c r="L29" s="495" t="str">
        <f>IF(OR(Copa2022!F37="",G29=""),"",
IF(AND(Copa2022!F37=G29,Copa2022!H37=I29),Regras!$J$25,IF(Y29=Regras!F51,Regras!$J$26,0)))</f>
        <v/>
      </c>
      <c r="M29" s="495"/>
      <c r="N29" s="318"/>
      <c r="O29" s="381">
        <v>2</v>
      </c>
      <c r="P29" s="382" t="s">
        <v>7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 x14ac:dyDescent="0.2">
      <c r="A30" s="60" t="s">
        <v>311</v>
      </c>
      <c r="B30" s="485"/>
      <c r="C30" s="171">
        <v>44892</v>
      </c>
      <c r="D30" s="194" t="s">
        <v>136</v>
      </c>
      <c r="E30" s="172" t="s">
        <v>161</v>
      </c>
      <c r="F30" s="78" t="s">
        <v>11</v>
      </c>
      <c r="G30" s="375">
        <v>1</v>
      </c>
      <c r="H30" s="358" t="s">
        <v>0</v>
      </c>
      <c r="I30" s="387">
        <v>0</v>
      </c>
      <c r="J30" s="81" t="s">
        <v>7</v>
      </c>
      <c r="K30" s="52"/>
      <c r="L30" s="495" t="str">
        <f>IF(OR(Copa2022!F38="",G30=""),"",
IF(AND(Copa2022!F38=G30,Copa2022!H38=I30),Regras!$J$25,IF(Y30=Regras!F52,Regras!$J$26,0)))</f>
        <v/>
      </c>
      <c r="M30" s="495"/>
      <c r="N30" s="318"/>
      <c r="O30" s="378">
        <v>3</v>
      </c>
      <c r="P30" s="377" t="s">
        <v>160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 x14ac:dyDescent="0.25">
      <c r="A31" s="60" t="s">
        <v>312</v>
      </c>
      <c r="B31" s="485"/>
      <c r="C31" s="171">
        <v>44896</v>
      </c>
      <c r="D31" s="194" t="s">
        <v>136</v>
      </c>
      <c r="E31" s="172" t="s">
        <v>143</v>
      </c>
      <c r="F31" s="78" t="s">
        <v>8</v>
      </c>
      <c r="G31" s="375">
        <v>1</v>
      </c>
      <c r="H31" s="358" t="s">
        <v>0</v>
      </c>
      <c r="I31" s="387">
        <v>2</v>
      </c>
      <c r="J31" s="81" t="s">
        <v>11</v>
      </c>
      <c r="K31" s="52"/>
      <c r="L31" s="495" t="str">
        <f>IF(OR(Copa2022!F39="",G31=""),"",
IF(AND(Copa2022!F39=G31,Copa2022!H39=I31),Regras!$J$25,IF(Y31=Regras!F53,Regras!$J$26,0)))</f>
        <v/>
      </c>
      <c r="M31" s="495"/>
      <c r="N31" s="318"/>
      <c r="O31" s="379">
        <v>4</v>
      </c>
      <c r="P31" s="380" t="s">
        <v>8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 x14ac:dyDescent="0.25">
      <c r="A32" s="60" t="s">
        <v>313</v>
      </c>
      <c r="B32" s="486"/>
      <c r="C32" s="173">
        <v>44896</v>
      </c>
      <c r="D32" s="195" t="s">
        <v>136</v>
      </c>
      <c r="E32" s="174" t="s">
        <v>161</v>
      </c>
      <c r="F32" s="86" t="s">
        <v>160</v>
      </c>
      <c r="G32" s="376">
        <v>2</v>
      </c>
      <c r="H32" s="362" t="s">
        <v>0</v>
      </c>
      <c r="I32" s="388">
        <v>3</v>
      </c>
      <c r="J32" s="89" t="s">
        <v>7</v>
      </c>
      <c r="K32" s="52"/>
      <c r="L32" s="495" t="str">
        <f>IF(OR(Copa2022!F40="",G32=""),"",
IF(AND(Copa2022!F40=G32,Copa2022!H40=I32),Regras!$J$25,IF(Y32=Regras!F54,Regras!$J$26,0)))</f>
        <v/>
      </c>
      <c r="M32" s="495"/>
      <c r="N32" s="318"/>
      <c r="O32" s="373"/>
      <c r="P32" s="377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 x14ac:dyDescent="0.25">
      <c r="A33" s="60" t="s">
        <v>314</v>
      </c>
      <c r="B33" s="48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59">
        <v>0</v>
      </c>
      <c r="H33" s="360" t="s">
        <v>0</v>
      </c>
      <c r="I33" s="368">
        <v>2</v>
      </c>
      <c r="J33" s="85" t="s">
        <v>70</v>
      </c>
      <c r="K33" s="52"/>
      <c r="L33" s="495" t="str">
        <f>IF(OR(Copa2022!F41="",G33=""),"",
IF(AND(Copa2022!F41=G33,Copa2022!H41=I33),Regras!$J$25,IF(Y33=Regras!F55,Regras!$J$26,0)))</f>
        <v/>
      </c>
      <c r="M33" s="495"/>
      <c r="N33" s="318"/>
      <c r="O33" s="502" t="s">
        <v>56</v>
      </c>
      <c r="P33" s="503"/>
      <c r="Q33" s="324" t="str">
        <f>IF(Copa2022!F46="","",IF(Copa2022!O42=Girlayne!P34,Regras!$J$27,0))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/>
      </c>
    </row>
    <row r="34" spans="1:25" s="60" customFormat="1" ht="35.1" customHeight="1" x14ac:dyDescent="0.2">
      <c r="A34" s="60" t="s">
        <v>315</v>
      </c>
      <c r="B34" s="485"/>
      <c r="C34" s="171">
        <v>44888</v>
      </c>
      <c r="D34" s="194" t="s">
        <v>136</v>
      </c>
      <c r="E34" s="177" t="s">
        <v>162</v>
      </c>
      <c r="F34" s="78" t="s">
        <v>104</v>
      </c>
      <c r="G34" s="375">
        <v>3</v>
      </c>
      <c r="H34" s="358" t="s">
        <v>0</v>
      </c>
      <c r="I34" s="387">
        <v>0</v>
      </c>
      <c r="J34" s="81" t="s">
        <v>150</v>
      </c>
      <c r="K34" s="52"/>
      <c r="L34" s="495" t="str">
        <f>IF(OR(Copa2022!F42="",G34=""),"",
IF(AND(Copa2022!F42=G34,Copa2022!H42=I34),Regras!$J$25,IF(Y34=Regras!F56,Regras!$J$26,0)))</f>
        <v/>
      </c>
      <c r="M34" s="495"/>
      <c r="N34" s="318"/>
      <c r="O34" s="378">
        <v>1</v>
      </c>
      <c r="P34" s="377" t="s">
        <v>70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 x14ac:dyDescent="0.25">
      <c r="A35" s="60" t="s">
        <v>316</v>
      </c>
      <c r="B35" s="485"/>
      <c r="C35" s="171">
        <v>44892</v>
      </c>
      <c r="D35" s="194" t="s">
        <v>135</v>
      </c>
      <c r="E35" s="177" t="s">
        <v>157</v>
      </c>
      <c r="F35" s="78" t="s">
        <v>104</v>
      </c>
      <c r="G35" s="375">
        <v>2</v>
      </c>
      <c r="H35" s="358" t="s">
        <v>0</v>
      </c>
      <c r="I35" s="387">
        <v>1</v>
      </c>
      <c r="J35" s="81" t="s">
        <v>126</v>
      </c>
      <c r="K35" s="52"/>
      <c r="L35" s="495" t="str">
        <f>IF(OR(Copa2022!F43="",G35=""),"",
IF(AND(Copa2022!F43=G35,Copa2022!H43=I35),Regras!$J$25,IF(Y35=Regras!F57,Regras!$J$26,0)))</f>
        <v/>
      </c>
      <c r="M35" s="495"/>
      <c r="N35" s="318"/>
      <c r="O35" s="381">
        <v>2</v>
      </c>
      <c r="P35" s="382" t="s">
        <v>104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 x14ac:dyDescent="0.2">
      <c r="A36" s="60" t="s">
        <v>317</v>
      </c>
      <c r="B36" s="485"/>
      <c r="C36" s="171">
        <v>44892</v>
      </c>
      <c r="D36" s="194" t="s">
        <v>134</v>
      </c>
      <c r="E36" s="177" t="s">
        <v>143</v>
      </c>
      <c r="F36" s="78" t="s">
        <v>70</v>
      </c>
      <c r="G36" s="375">
        <v>3</v>
      </c>
      <c r="H36" s="358" t="s">
        <v>0</v>
      </c>
      <c r="I36" s="387">
        <v>1</v>
      </c>
      <c r="J36" s="81" t="s">
        <v>150</v>
      </c>
      <c r="K36" s="52"/>
      <c r="L36" s="495" t="str">
        <f>IF(OR(Copa2022!F44="",G36=""),"",
IF(AND(Copa2022!F44=G36,Copa2022!H44=I36),Regras!$J$25,IF(Y36=Regras!F58,Regras!$J$26,0)))</f>
        <v/>
      </c>
      <c r="M36" s="495"/>
      <c r="N36" s="318"/>
      <c r="O36" s="378">
        <v>3</v>
      </c>
      <c r="P36" s="377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 x14ac:dyDescent="0.25">
      <c r="A37" s="60" t="s">
        <v>318</v>
      </c>
      <c r="B37" s="485"/>
      <c r="C37" s="171">
        <v>44896</v>
      </c>
      <c r="D37" s="194" t="s">
        <v>132</v>
      </c>
      <c r="E37" s="177" t="s">
        <v>162</v>
      </c>
      <c r="F37" s="78" t="s">
        <v>70</v>
      </c>
      <c r="G37" s="375">
        <v>2</v>
      </c>
      <c r="H37" s="358" t="s">
        <v>0</v>
      </c>
      <c r="I37" s="387">
        <v>1</v>
      </c>
      <c r="J37" s="81" t="s">
        <v>104</v>
      </c>
      <c r="K37" s="52"/>
      <c r="L37" s="495" t="str">
        <f>IF(OR(Copa2022!F45="",G37=""),"",
IF(AND(Copa2022!F45=G37,Copa2022!H45=I37),Regras!$J$25,IF(Y37=Regras!F59,Regras!$J$26,0)))</f>
        <v/>
      </c>
      <c r="M37" s="495"/>
      <c r="N37" s="318"/>
      <c r="O37" s="379">
        <v>4</v>
      </c>
      <c r="P37" s="380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 x14ac:dyDescent="0.25">
      <c r="A38" s="60" t="s">
        <v>319</v>
      </c>
      <c r="B38" s="486"/>
      <c r="C38" s="173">
        <v>44896</v>
      </c>
      <c r="D38" s="195" t="s">
        <v>132</v>
      </c>
      <c r="E38" s="178" t="s">
        <v>157</v>
      </c>
      <c r="F38" s="90" t="s">
        <v>150</v>
      </c>
      <c r="G38" s="363">
        <v>2</v>
      </c>
      <c r="H38" s="364" t="s">
        <v>0</v>
      </c>
      <c r="I38" s="369">
        <v>1</v>
      </c>
      <c r="J38" s="93" t="s">
        <v>126</v>
      </c>
      <c r="K38" s="52"/>
      <c r="L38" s="495" t="str">
        <f>IF(OR(Copa2022!F46="",G38=""),"",
IF(AND(Copa2022!F46=G38,Copa2022!H46=I38),Regras!$J$25,IF(Y38=Regras!F60,Regras!$J$26,0)))</f>
        <v/>
      </c>
      <c r="M38" s="495"/>
      <c r="N38" s="318"/>
      <c r="O38" s="373"/>
      <c r="P38" s="377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 x14ac:dyDescent="0.25">
      <c r="A39" s="60" t="s">
        <v>320</v>
      </c>
      <c r="B39" s="48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74">
        <v>0</v>
      </c>
      <c r="H39" s="356" t="s">
        <v>0</v>
      </c>
      <c r="I39" s="386">
        <v>1</v>
      </c>
      <c r="J39" s="77" t="s">
        <v>151</v>
      </c>
      <c r="K39" s="52"/>
      <c r="L39" s="495" t="str">
        <f>IF(OR(Copa2022!F47="",G39=""),"",
IF(AND(Copa2022!F47=G39,Copa2022!H47=I39),Regras!$J$25,IF(Y39=Regras!F61,Regras!$J$26,0)))</f>
        <v/>
      </c>
      <c r="M39" s="495"/>
      <c r="N39" s="318"/>
      <c r="O39" s="502" t="s">
        <v>58</v>
      </c>
      <c r="P39" s="503"/>
      <c r="Q39" s="324" t="str">
        <f>IF(Copa2022!F52="","",IF(Copa2022!O48=Girlayne!P40,Regras!$J$27,0))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 x14ac:dyDescent="0.2">
      <c r="A40" s="60" t="s">
        <v>321</v>
      </c>
      <c r="B40" s="485"/>
      <c r="C40" s="171">
        <v>44889</v>
      </c>
      <c r="D40" s="194" t="s">
        <v>136</v>
      </c>
      <c r="E40" s="172" t="s">
        <v>146</v>
      </c>
      <c r="F40" s="78" t="s">
        <v>10</v>
      </c>
      <c r="G40" s="375">
        <v>2</v>
      </c>
      <c r="H40" s="358" t="s">
        <v>0</v>
      </c>
      <c r="I40" s="387">
        <v>0</v>
      </c>
      <c r="J40" s="81" t="s">
        <v>128</v>
      </c>
      <c r="K40" s="52"/>
      <c r="L40" s="495" t="str">
        <f>IF(OR(Copa2022!F48="",G40=""),"",
IF(AND(Copa2022!F48=G40,Copa2022!H48=I40),Regras!$J$25,IF(Y40=Regras!F62,Regras!$J$26,0)))</f>
        <v/>
      </c>
      <c r="M40" s="495"/>
      <c r="N40" s="318"/>
      <c r="O40" s="383">
        <v>1</v>
      </c>
      <c r="P40" s="384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 x14ac:dyDescent="0.25">
      <c r="A41" s="60" t="s">
        <v>322</v>
      </c>
      <c r="B41" s="485"/>
      <c r="C41" s="171">
        <v>44893</v>
      </c>
      <c r="D41" s="194" t="s">
        <v>133</v>
      </c>
      <c r="E41" s="172" t="s">
        <v>164</v>
      </c>
      <c r="F41" s="78" t="s">
        <v>151</v>
      </c>
      <c r="G41" s="375">
        <v>1</v>
      </c>
      <c r="H41" s="358" t="s">
        <v>0</v>
      </c>
      <c r="I41" s="387">
        <v>2</v>
      </c>
      <c r="J41" s="81" t="s">
        <v>128</v>
      </c>
      <c r="K41" s="52"/>
      <c r="L41" s="495" t="str">
        <f>IF(OR(Copa2022!F49="",G41=""),"",
IF(AND(Copa2022!F49=G41,Copa2022!H49=I41),Regras!$J$25,IF(Y41=Regras!F63,Regras!$J$26,0)))</f>
        <v/>
      </c>
      <c r="M41" s="495"/>
      <c r="N41" s="318"/>
      <c r="O41" s="381">
        <v>2</v>
      </c>
      <c r="P41" s="382" t="s">
        <v>128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 x14ac:dyDescent="0.2">
      <c r="A42" s="60" t="s">
        <v>323</v>
      </c>
      <c r="B42" s="485"/>
      <c r="C42" s="171">
        <v>44893</v>
      </c>
      <c r="D42" s="194" t="s">
        <v>134</v>
      </c>
      <c r="E42" s="172" t="s">
        <v>163</v>
      </c>
      <c r="F42" s="78" t="s">
        <v>10</v>
      </c>
      <c r="G42" s="375">
        <v>3</v>
      </c>
      <c r="H42" s="358" t="s">
        <v>0</v>
      </c>
      <c r="I42" s="387">
        <v>1</v>
      </c>
      <c r="J42" s="81" t="s">
        <v>12</v>
      </c>
      <c r="K42" s="52"/>
      <c r="L42" s="495" t="str">
        <f>IF(OR(Copa2022!F50="",G42=""),"",
IF(AND(Copa2022!F50=G42,Copa2022!H50=I42),Regras!$J$25,IF(Y42=Regras!F64,Regras!$J$26,0)))</f>
        <v/>
      </c>
      <c r="M42" s="495"/>
      <c r="N42" s="318"/>
      <c r="O42" s="378">
        <v>3</v>
      </c>
      <c r="P42" s="377" t="s">
        <v>151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 x14ac:dyDescent="0.25">
      <c r="A43" s="60" t="s">
        <v>324</v>
      </c>
      <c r="B43" s="485"/>
      <c r="C43" s="171">
        <v>44897</v>
      </c>
      <c r="D43" s="194" t="s">
        <v>136</v>
      </c>
      <c r="E43" s="172" t="s">
        <v>146</v>
      </c>
      <c r="F43" s="78" t="s">
        <v>151</v>
      </c>
      <c r="G43" s="375">
        <v>1</v>
      </c>
      <c r="H43" s="358" t="s">
        <v>0</v>
      </c>
      <c r="I43" s="387">
        <v>2</v>
      </c>
      <c r="J43" s="81" t="s">
        <v>10</v>
      </c>
      <c r="K43" s="52"/>
      <c r="L43" s="495" t="str">
        <f>IF(OR(Copa2022!F51="",G43=""),"",
IF(AND(Copa2022!F51=G43,Copa2022!H51=I43),Regras!$J$25,IF(Y43=Regras!F65,Regras!$J$26,0)))</f>
        <v/>
      </c>
      <c r="M43" s="495"/>
      <c r="N43" s="318"/>
      <c r="O43" s="379">
        <v>4</v>
      </c>
      <c r="P43" s="380" t="s">
        <v>12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 x14ac:dyDescent="0.25">
      <c r="A44" s="60" t="s">
        <v>325</v>
      </c>
      <c r="B44" s="486"/>
      <c r="C44" s="173">
        <v>44897</v>
      </c>
      <c r="D44" s="195" t="s">
        <v>136</v>
      </c>
      <c r="E44" s="174" t="s">
        <v>163</v>
      </c>
      <c r="F44" s="86" t="s">
        <v>128</v>
      </c>
      <c r="G44" s="376">
        <v>2</v>
      </c>
      <c r="H44" s="362" t="s">
        <v>0</v>
      </c>
      <c r="I44" s="388">
        <v>0</v>
      </c>
      <c r="J44" s="89" t="s">
        <v>12</v>
      </c>
      <c r="K44" s="52"/>
      <c r="L44" s="495" t="str">
        <f>IF(OR(Copa2022!F52="",G44=""),"",
IF(AND(Copa2022!F52=G44,Copa2022!H52=I44),Regras!$J$25,IF(Y44=Regras!F66,Regras!$J$26,0)))</f>
        <v/>
      </c>
      <c r="M44" s="495"/>
      <c r="N44" s="318"/>
      <c r="O44" s="373"/>
      <c r="P44" s="377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 x14ac:dyDescent="0.25">
      <c r="A45" s="60" t="s">
        <v>326</v>
      </c>
      <c r="B45" s="48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59">
        <v>3</v>
      </c>
      <c r="H45" s="360" t="s">
        <v>0</v>
      </c>
      <c r="I45" s="368">
        <v>1</v>
      </c>
      <c r="J45" s="85" t="s">
        <v>5</v>
      </c>
      <c r="K45" s="52"/>
      <c r="L45" s="495" t="str">
        <f>IF(OR(Copa2022!F53="",G45=""),"",
IF(AND(Copa2022!F53=G45,Copa2022!H53=I45),Regras!$J$25,IF(Y45=Regras!F67,Regras!$J$26,0)))</f>
        <v/>
      </c>
      <c r="M45" s="495"/>
      <c r="N45" s="318"/>
      <c r="O45" s="502" t="s">
        <v>59</v>
      </c>
      <c r="P45" s="503"/>
      <c r="Q45" s="324" t="str">
        <f>IF(Copa2022!F58="","",IF(Copa2022!O54=Girlayne!P46,Regras!$J$27,0))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 x14ac:dyDescent="0.2">
      <c r="A46" s="60" t="s">
        <v>327</v>
      </c>
      <c r="B46" s="485"/>
      <c r="C46" s="171">
        <v>44889</v>
      </c>
      <c r="D46" s="194" t="s">
        <v>134</v>
      </c>
      <c r="E46" s="177" t="s">
        <v>163</v>
      </c>
      <c r="F46" s="78" t="s">
        <v>9</v>
      </c>
      <c r="G46" s="375">
        <v>1</v>
      </c>
      <c r="H46" s="358" t="s">
        <v>0</v>
      </c>
      <c r="I46" s="387">
        <v>2</v>
      </c>
      <c r="J46" s="81" t="s">
        <v>152</v>
      </c>
      <c r="K46" s="52"/>
      <c r="L46" s="495" t="str">
        <f>IF(OR(Copa2022!F54="",G46=""),"",
IF(AND(Copa2022!F54=G46,Copa2022!H54=I46),Regras!$J$25,IF(Y46=Regras!F68,Regras!$J$26,0)))</f>
        <v/>
      </c>
      <c r="M46" s="495"/>
      <c r="N46" s="318"/>
      <c r="O46" s="378">
        <v>1</v>
      </c>
      <c r="P46" s="377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 x14ac:dyDescent="0.25">
      <c r="A47" s="60" t="s">
        <v>328</v>
      </c>
      <c r="B47" s="485"/>
      <c r="C47" s="171">
        <v>44893</v>
      </c>
      <c r="D47" s="194" t="s">
        <v>135</v>
      </c>
      <c r="E47" s="177" t="s">
        <v>148</v>
      </c>
      <c r="F47" s="78" t="s">
        <v>5</v>
      </c>
      <c r="G47" s="375">
        <v>1</v>
      </c>
      <c r="H47" s="358" t="s">
        <v>0</v>
      </c>
      <c r="I47" s="387">
        <v>2</v>
      </c>
      <c r="J47" s="81" t="s">
        <v>152</v>
      </c>
      <c r="K47" s="52"/>
      <c r="L47" s="495" t="str">
        <f>IF(OR(Copa2022!F55="",G47=""),"",
IF(AND(Copa2022!F55=G47,Copa2022!H55=I47),Regras!$J$25,IF(Y47=Regras!F69,Regras!$J$26,0)))</f>
        <v/>
      </c>
      <c r="M47" s="495"/>
      <c r="N47" s="318"/>
      <c r="O47" s="381">
        <v>2</v>
      </c>
      <c r="P47" s="382" t="s">
        <v>152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 x14ac:dyDescent="0.2">
      <c r="A48" s="60" t="s">
        <v>329</v>
      </c>
      <c r="B48" s="485"/>
      <c r="C48" s="171">
        <v>44893</v>
      </c>
      <c r="D48" s="194" t="s">
        <v>136</v>
      </c>
      <c r="E48" s="177" t="s">
        <v>146</v>
      </c>
      <c r="F48" s="78" t="s">
        <v>9</v>
      </c>
      <c r="G48" s="375">
        <v>1</v>
      </c>
      <c r="H48" s="358" t="s">
        <v>0</v>
      </c>
      <c r="I48" s="387">
        <v>2</v>
      </c>
      <c r="J48" s="81" t="s">
        <v>2</v>
      </c>
      <c r="K48" s="52"/>
      <c r="L48" s="495" t="str">
        <f>IF(OR(Copa2022!F56="",G48=""),"",
IF(AND(Copa2022!F56=G48,Copa2022!H56=I48),Regras!$J$25,IF(Y48=Regras!F70,Regras!$J$26,0)))</f>
        <v/>
      </c>
      <c r="M48" s="495"/>
      <c r="N48" s="318"/>
      <c r="O48" s="378">
        <v>3</v>
      </c>
      <c r="P48" s="377" t="s">
        <v>9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 x14ac:dyDescent="0.25">
      <c r="A49" s="60" t="s">
        <v>330</v>
      </c>
      <c r="B49" s="485"/>
      <c r="C49" s="171">
        <v>44897</v>
      </c>
      <c r="D49" s="194" t="s">
        <v>132</v>
      </c>
      <c r="E49" s="177" t="s">
        <v>148</v>
      </c>
      <c r="F49" s="78" t="s">
        <v>5</v>
      </c>
      <c r="G49" s="375">
        <v>0</v>
      </c>
      <c r="H49" s="358" t="s">
        <v>0</v>
      </c>
      <c r="I49" s="387">
        <v>3</v>
      </c>
      <c r="J49" s="81" t="s">
        <v>9</v>
      </c>
      <c r="K49" s="52"/>
      <c r="L49" s="495" t="str">
        <f>IF(OR(Copa2022!F57="",G49=""),"",
IF(AND(Copa2022!F57=G49,Copa2022!H57=I49),Regras!$J$25,IF(Y49=Regras!F71,Regras!$J$26,0)))</f>
        <v/>
      </c>
      <c r="M49" s="495"/>
      <c r="N49" s="318"/>
      <c r="O49" s="379">
        <v>4</v>
      </c>
      <c r="P49" s="380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 x14ac:dyDescent="0.25">
      <c r="A50" s="477" t="s">
        <v>331</v>
      </c>
      <c r="B50" s="486"/>
      <c r="C50" s="173">
        <v>44897</v>
      </c>
      <c r="D50" s="195" t="s">
        <v>132</v>
      </c>
      <c r="E50" s="178" t="s">
        <v>164</v>
      </c>
      <c r="F50" s="19" t="s">
        <v>152</v>
      </c>
      <c r="G50" s="370">
        <v>1</v>
      </c>
      <c r="H50" s="371" t="s">
        <v>0</v>
      </c>
      <c r="I50" s="372">
        <v>2</v>
      </c>
      <c r="J50" s="130" t="s">
        <v>2</v>
      </c>
      <c r="K50" s="52"/>
      <c r="L50" s="495" t="str">
        <f>IF(OR(Copa2022!F58="",G50=""),"",
IF(AND(Copa2022!F58=G50,Copa2022!H58=I50),Regras!$J$25,IF(Y50=Regras!F72,Regras!$J$26,0)))</f>
        <v/>
      </c>
      <c r="M50" s="495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x14ac:dyDescent="0.2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 x14ac:dyDescent="0.25">
      <c r="B52" s="44"/>
      <c r="C52" s="506" t="s">
        <v>124</v>
      </c>
      <c r="D52" s="507"/>
      <c r="E52" s="507"/>
      <c r="F52" s="507"/>
      <c r="G52" s="507"/>
      <c r="H52" s="507"/>
      <c r="I52" s="507"/>
      <c r="J52" s="507"/>
      <c r="K52" s="507"/>
      <c r="L52" s="507"/>
      <c r="M52" s="508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 x14ac:dyDescent="0.25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4" t="s">
        <v>78</v>
      </c>
      <c r="M53" s="505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 x14ac:dyDescent="0.25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 x14ac:dyDescent="0.25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 x14ac:dyDescent="0.25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 x14ac:dyDescent="0.25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 x14ac:dyDescent="0.25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 x14ac:dyDescent="0.25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 x14ac:dyDescent="0.25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 x14ac:dyDescent="0.25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 x14ac:dyDescent="0.25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23" t="s">
        <v>78</v>
      </c>
      <c r="M62" s="524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 x14ac:dyDescent="0.25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 x14ac:dyDescent="0.25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 x14ac:dyDescent="0.25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 x14ac:dyDescent="0.25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 x14ac:dyDescent="0.25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20" t="s">
        <v>78</v>
      </c>
      <c r="M67" s="522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 x14ac:dyDescent="0.25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 x14ac:dyDescent="0.25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 x14ac:dyDescent="0.25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20" t="s">
        <v>78</v>
      </c>
      <c r="M70" s="522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 x14ac:dyDescent="0.25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 x14ac:dyDescent="0.25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20" t="s">
        <v>78</v>
      </c>
      <c r="M72" s="521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 x14ac:dyDescent="0.25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 x14ac:dyDescent="0.2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 x14ac:dyDescent="0.25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 x14ac:dyDescent="0.25">
      <c r="C76" s="2"/>
      <c r="D76" s="2"/>
      <c r="E76" s="125" t="s">
        <v>83</v>
      </c>
      <c r="F76" s="511">
        <f>'2ª Fase'!E40:I40</f>
        <v>0</v>
      </c>
      <c r="G76" s="511"/>
      <c r="H76" s="511"/>
      <c r="I76" s="511"/>
      <c r="J76" s="512"/>
      <c r="K76" s="50"/>
      <c r="L76" s="1"/>
      <c r="M76" s="1"/>
    </row>
    <row r="77" spans="1:25" ht="15" customHeight="1" x14ac:dyDescent="0.2">
      <c r="C77" s="2"/>
      <c r="D77" s="2"/>
      <c r="E77" s="126" t="s">
        <v>84</v>
      </c>
      <c r="F77" s="513">
        <f>'2ª Fase'!E41:I41</f>
        <v>0</v>
      </c>
      <c r="G77" s="513"/>
      <c r="H77" s="513"/>
      <c r="I77" s="513"/>
      <c r="J77" s="514"/>
      <c r="K77" s="50"/>
      <c r="L77" s="1"/>
      <c r="M77" s="1"/>
    </row>
    <row r="78" spans="1:25" ht="15" customHeight="1" x14ac:dyDescent="0.2">
      <c r="C78" s="2"/>
      <c r="D78" s="2"/>
      <c r="E78" s="127" t="s">
        <v>102</v>
      </c>
      <c r="F78" s="515">
        <f>'2ª Fase'!E42:I42</f>
        <v>0</v>
      </c>
      <c r="G78" s="515"/>
      <c r="H78" s="515"/>
      <c r="I78" s="515"/>
      <c r="J78" s="516"/>
      <c r="K78" s="50"/>
      <c r="L78" s="1"/>
      <c r="M78" s="1"/>
    </row>
    <row r="79" spans="1:25" ht="15" customHeight="1" thickBot="1" x14ac:dyDescent="0.25">
      <c r="C79" s="2"/>
      <c r="D79" s="2"/>
      <c r="E79" s="128" t="s">
        <v>103</v>
      </c>
      <c r="F79" s="517">
        <f>'2ª Fase'!E43:I43</f>
        <v>0</v>
      </c>
      <c r="G79" s="517"/>
      <c r="H79" s="517"/>
      <c r="I79" s="517"/>
      <c r="J79" s="518"/>
      <c r="K79" s="50"/>
      <c r="L79" s="1"/>
      <c r="M79" s="1"/>
    </row>
    <row r="80" spans="1:25" ht="15" hidden="1" customHeight="1" x14ac:dyDescent="0.2">
      <c r="C80" s="2"/>
      <c r="D80" s="2"/>
      <c r="E80" s="192"/>
      <c r="F80" s="509"/>
      <c r="G80" s="509"/>
      <c r="H80" s="509"/>
      <c r="I80" s="509"/>
      <c r="J80" s="510"/>
      <c r="K80" s="50"/>
      <c r="L80" s="129"/>
      <c r="M80" s="1"/>
    </row>
    <row r="81" spans="3:13" ht="15.75" x14ac:dyDescent="0.2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 x14ac:dyDescent="0.2"/>
    <row r="90" spans="3:13" ht="15.75" customHeight="1" x14ac:dyDescent="0.2"/>
    <row r="91" spans="3:13" ht="15.75" customHeight="1" x14ac:dyDescent="0.2"/>
    <row r="92" spans="3:13" ht="15.75" customHeight="1" x14ac:dyDescent="0.2"/>
    <row r="93" spans="3:13" ht="15.75" customHeight="1" x14ac:dyDescent="0.2"/>
    <row r="94" spans="3:13" ht="15.75" customHeight="1" x14ac:dyDescent="0.2"/>
    <row r="95" spans="3:13" ht="15.75" customHeight="1" x14ac:dyDescent="0.2"/>
    <row r="96" spans="3:13" ht="15.75" customHeight="1" x14ac:dyDescent="0.2"/>
    <row r="117" spans="2:25" s="9" customFormat="1" ht="15.75" hidden="1" x14ac:dyDescent="0.2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F76:J76"/>
    <mergeCell ref="F77:J77"/>
    <mergeCell ref="F78:J78"/>
    <mergeCell ref="F79:J79"/>
    <mergeCell ref="F80:J80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B39:B44"/>
    <mergeCell ref="L39:M39"/>
    <mergeCell ref="O39:P39"/>
    <mergeCell ref="L40:M40"/>
    <mergeCell ref="L41:M41"/>
    <mergeCell ref="L42:M42"/>
    <mergeCell ref="L43:M43"/>
    <mergeCell ref="L44:M44"/>
    <mergeCell ref="B33:B38"/>
    <mergeCell ref="L33:M33"/>
    <mergeCell ref="O33:P33"/>
    <mergeCell ref="L34:M34"/>
    <mergeCell ref="L35:M35"/>
    <mergeCell ref="L36:M36"/>
    <mergeCell ref="L37:M37"/>
    <mergeCell ref="L38:M38"/>
    <mergeCell ref="B27:B32"/>
    <mergeCell ref="L27:M27"/>
    <mergeCell ref="O27:P27"/>
    <mergeCell ref="L28:M28"/>
    <mergeCell ref="L29:M29"/>
    <mergeCell ref="L30:M30"/>
    <mergeCell ref="L31:M31"/>
    <mergeCell ref="L32:M32"/>
    <mergeCell ref="B21:B26"/>
    <mergeCell ref="L21:M21"/>
    <mergeCell ref="O21:P21"/>
    <mergeCell ref="L22:M22"/>
    <mergeCell ref="L23:M23"/>
    <mergeCell ref="L24:M24"/>
    <mergeCell ref="L25:M25"/>
    <mergeCell ref="L26:M26"/>
    <mergeCell ref="B15:B20"/>
    <mergeCell ref="L15:M15"/>
    <mergeCell ref="O15:P15"/>
    <mergeCell ref="L16:M16"/>
    <mergeCell ref="L17:M17"/>
    <mergeCell ref="L18:M18"/>
    <mergeCell ref="L19:M19"/>
    <mergeCell ref="L20:M20"/>
    <mergeCell ref="B9:B14"/>
    <mergeCell ref="L9:M9"/>
    <mergeCell ref="O9:P9"/>
    <mergeCell ref="L10:M10"/>
    <mergeCell ref="L11:M11"/>
    <mergeCell ref="L12:M12"/>
    <mergeCell ref="L13:M13"/>
    <mergeCell ref="L14:M14"/>
    <mergeCell ref="B3:B8"/>
    <mergeCell ref="L3:M3"/>
    <mergeCell ref="O3:P3"/>
    <mergeCell ref="L4:M4"/>
    <mergeCell ref="L5:M5"/>
    <mergeCell ref="L6:M6"/>
    <mergeCell ref="L7:M7"/>
    <mergeCell ref="L8:M8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210" priority="51" stopIfTrue="1" operator="equal">
      <formula>#REF!</formula>
    </cfRule>
  </conditionalFormatting>
  <conditionalFormatting sqref="M54:N54">
    <cfRule type="expression" dxfId="209" priority="50">
      <formula>$H$14="penaltis"</formula>
    </cfRule>
  </conditionalFormatting>
  <conditionalFormatting sqref="L55:N55">
    <cfRule type="expression" dxfId="208" priority="49">
      <formula>$H$15="penaltis"</formula>
    </cfRule>
  </conditionalFormatting>
  <conditionalFormatting sqref="L56:N56">
    <cfRule type="expression" dxfId="207" priority="48">
      <formula>$H$16="penaltis"</formula>
    </cfRule>
  </conditionalFormatting>
  <conditionalFormatting sqref="L57:N57">
    <cfRule type="expression" dxfId="206" priority="47">
      <formula>$H$17="penaltis"</formula>
    </cfRule>
  </conditionalFormatting>
  <conditionalFormatting sqref="L58:N58">
    <cfRule type="expression" dxfId="205" priority="46">
      <formula>$H$18="penaltis"</formula>
    </cfRule>
  </conditionalFormatting>
  <conditionalFormatting sqref="L59:N59">
    <cfRule type="expression" dxfId="204" priority="45">
      <formula>$H$19="penaltis"</formula>
    </cfRule>
  </conditionalFormatting>
  <conditionalFormatting sqref="L60:N60">
    <cfRule type="expression" dxfId="203" priority="44">
      <formula>$H$20="penaltis"</formula>
    </cfRule>
  </conditionalFormatting>
  <conditionalFormatting sqref="L61:N61">
    <cfRule type="expression" dxfId="202" priority="43">
      <formula>$H$21="penaltis"</formula>
    </cfRule>
  </conditionalFormatting>
  <conditionalFormatting sqref="N63">
    <cfRule type="expression" dxfId="201" priority="42">
      <formula>$H$23="penaltis"</formula>
    </cfRule>
  </conditionalFormatting>
  <conditionalFormatting sqref="N64">
    <cfRule type="expression" dxfId="200" priority="41" stopIfTrue="1">
      <formula>$H$24="penaltis"</formula>
    </cfRule>
  </conditionalFormatting>
  <conditionalFormatting sqref="N65">
    <cfRule type="expression" dxfId="199" priority="40" stopIfTrue="1">
      <formula>$H$25="penaltis"</formula>
    </cfRule>
  </conditionalFormatting>
  <conditionalFormatting sqref="N66">
    <cfRule type="expression" dxfId="198" priority="39" stopIfTrue="1">
      <formula>$H$26="penaltis"</formula>
    </cfRule>
  </conditionalFormatting>
  <conditionalFormatting sqref="N68">
    <cfRule type="expression" dxfId="197" priority="38" stopIfTrue="1">
      <formula>$H$28="penaltis"</formula>
    </cfRule>
  </conditionalFormatting>
  <conditionalFormatting sqref="N69">
    <cfRule type="expression" dxfId="196" priority="37" stopIfTrue="1">
      <formula>$H$29="penaltis"</formula>
    </cfRule>
  </conditionalFormatting>
  <conditionalFormatting sqref="N71">
    <cfRule type="expression" dxfId="195" priority="36" stopIfTrue="1">
      <formula>$H$31="penaltis"</formula>
    </cfRule>
  </conditionalFormatting>
  <conditionalFormatting sqref="N73">
    <cfRule type="expression" dxfId="194" priority="35" stopIfTrue="1">
      <formula>$H$33="penaltis"</formula>
    </cfRule>
  </conditionalFormatting>
  <conditionalFormatting sqref="L54:M54">
    <cfRule type="expression" dxfId="193" priority="34" stopIfTrue="1">
      <formula>$K$54="penaltis"</formula>
    </cfRule>
  </conditionalFormatting>
  <conditionalFormatting sqref="L55:M55">
    <cfRule type="expression" dxfId="192" priority="33" stopIfTrue="1">
      <formula>$K$55="penaltis"</formula>
    </cfRule>
  </conditionalFormatting>
  <conditionalFormatting sqref="L56:M56">
    <cfRule type="expression" dxfId="191" priority="32" stopIfTrue="1">
      <formula>$K$56="penaltis"</formula>
    </cfRule>
  </conditionalFormatting>
  <conditionalFormatting sqref="L57:M57">
    <cfRule type="expression" dxfId="190" priority="31" stopIfTrue="1">
      <formula>$K$57="penaltis"</formula>
    </cfRule>
  </conditionalFormatting>
  <conditionalFormatting sqref="L58:M58">
    <cfRule type="expression" dxfId="189" priority="30" stopIfTrue="1">
      <formula>$K$58="penaltis"</formula>
    </cfRule>
  </conditionalFormatting>
  <conditionalFormatting sqref="L59:M59">
    <cfRule type="expression" dxfId="188" priority="29" stopIfTrue="1">
      <formula>$K$59="penaltis"</formula>
    </cfRule>
  </conditionalFormatting>
  <conditionalFormatting sqref="L60:M60">
    <cfRule type="expression" dxfId="187" priority="28" stopIfTrue="1">
      <formula>$K$60="penaltis"</formula>
    </cfRule>
  </conditionalFormatting>
  <conditionalFormatting sqref="L61:M61">
    <cfRule type="expression" dxfId="186" priority="27" stopIfTrue="1">
      <formula>$K$61="penaltis"</formula>
    </cfRule>
  </conditionalFormatting>
  <conditionalFormatting sqref="L63:M63">
    <cfRule type="expression" dxfId="185" priority="26">
      <formula>$K$63="penaltis"</formula>
    </cfRule>
  </conditionalFormatting>
  <conditionalFormatting sqref="L64:M64">
    <cfRule type="expression" dxfId="184" priority="25">
      <formula>$K$64="penaltis"</formula>
    </cfRule>
  </conditionalFormatting>
  <conditionalFormatting sqref="L65:M65">
    <cfRule type="expression" dxfId="183" priority="24">
      <formula>$K$65="penaltis"</formula>
    </cfRule>
  </conditionalFormatting>
  <conditionalFormatting sqref="L66:M66">
    <cfRule type="expression" dxfId="182" priority="23">
      <formula>$K$66="penaltis"</formula>
    </cfRule>
  </conditionalFormatting>
  <conditionalFormatting sqref="L68:M68">
    <cfRule type="expression" dxfId="181" priority="22">
      <formula>$K$68="penaltis"</formula>
    </cfRule>
  </conditionalFormatting>
  <conditionalFormatting sqref="L69:M69">
    <cfRule type="expression" dxfId="180" priority="21">
      <formula>$K$69="penaltis"</formula>
    </cfRule>
  </conditionalFormatting>
  <conditionalFormatting sqref="L71:M71">
    <cfRule type="expression" dxfId="179" priority="20">
      <formula>$K$71="penaltis"</formula>
    </cfRule>
  </conditionalFormatting>
  <conditionalFormatting sqref="L73:M73">
    <cfRule type="expression" dxfId="178" priority="19">
      <formula>$K$73="penaltis"</formula>
    </cfRule>
  </conditionalFormatting>
  <conditionalFormatting sqref="Q4:X5">
    <cfRule type="expression" dxfId="177" priority="18">
      <formula>$R$8=12</formula>
    </cfRule>
  </conditionalFormatting>
  <conditionalFormatting sqref="Q10:X11">
    <cfRule type="expression" dxfId="176" priority="17">
      <formula>$R$14=12</formula>
    </cfRule>
  </conditionalFormatting>
  <conditionalFormatting sqref="Q16:X17">
    <cfRule type="expression" dxfId="175" priority="16">
      <formula>$R$20=12</formula>
    </cfRule>
  </conditionalFormatting>
  <conditionalFormatting sqref="Q22:X23">
    <cfRule type="expression" dxfId="174" priority="15">
      <formula>$R$26=12</formula>
    </cfRule>
  </conditionalFormatting>
  <conditionalFormatting sqref="Q28:X29">
    <cfRule type="expression" dxfId="173" priority="14">
      <formula>$R$32=12</formula>
    </cfRule>
  </conditionalFormatting>
  <conditionalFormatting sqref="Q34:X35">
    <cfRule type="expression" dxfId="172" priority="13">
      <formula>$R$38=12</formula>
    </cfRule>
  </conditionalFormatting>
  <conditionalFormatting sqref="Q40:X41">
    <cfRule type="expression" dxfId="171" priority="12">
      <formula>$R$44=12</formula>
    </cfRule>
  </conditionalFormatting>
  <conditionalFormatting sqref="Q46:X47">
    <cfRule type="expression" dxfId="170" priority="11">
      <formula>$R$50=12</formula>
    </cfRule>
  </conditionalFormatting>
  <conditionalFormatting sqref="F62:J73 B45 B9 B15 B21 B27 B33 B3 F3:F50 J3:J50">
    <cfRule type="cellIs" dxfId="169" priority="52" stopIfTrue="1" operator="equal">
      <formula>#REF!</formula>
    </cfRule>
  </conditionalFormatting>
  <conditionalFormatting sqref="B39">
    <cfRule type="cellIs" dxfId="168" priority="10" stopIfTrue="1" operator="equal">
      <formula>#REF!</formula>
    </cfRule>
  </conditionalFormatting>
  <conditionalFormatting sqref="F54:J61">
    <cfRule type="cellIs" dxfId="167" priority="9" stopIfTrue="1" operator="equal">
      <formula>$Z$7</formula>
    </cfRule>
  </conditionalFormatting>
  <conditionalFormatting sqref="O4:P5">
    <cfRule type="expression" dxfId="166" priority="8">
      <formula>$R$16=12</formula>
    </cfRule>
  </conditionalFormatting>
  <conditionalFormatting sqref="O10:P11">
    <cfRule type="expression" dxfId="165" priority="7">
      <formula>$R$22=12</formula>
    </cfRule>
  </conditionalFormatting>
  <conditionalFormatting sqref="O16:P17">
    <cfRule type="expression" dxfId="164" priority="6">
      <formula>$R$28=12</formula>
    </cfRule>
  </conditionalFormatting>
  <conditionalFormatting sqref="O22:P23">
    <cfRule type="expression" dxfId="163" priority="5">
      <formula>$R$34=12</formula>
    </cfRule>
  </conditionalFormatting>
  <conditionalFormatting sqref="O28:P29">
    <cfRule type="expression" dxfId="162" priority="4">
      <formula>$R$40=12</formula>
    </cfRule>
  </conditionalFormatting>
  <conditionalFormatting sqref="O34:P35">
    <cfRule type="expression" dxfId="161" priority="3">
      <formula>$R$46=12</formula>
    </cfRule>
  </conditionalFormatting>
  <conditionalFormatting sqref="O40:P41">
    <cfRule type="expression" dxfId="160" priority="2">
      <formula>$R$52=12</formula>
    </cfRule>
  </conditionalFormatting>
  <conditionalFormatting sqref="O46:P47">
    <cfRule type="expression" dxfId="159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 xr:uid="{00000000-0002-0000-1100-000000000000}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dimension ref="A1:HW117"/>
  <sheetViews>
    <sheetView topLeftCell="A17" workbookViewId="0">
      <selection activeCell="F3" sqref="F3:J50"/>
    </sheetView>
  </sheetViews>
  <sheetFormatPr defaultColWidth="0" defaultRowHeight="0" customHeight="1" zeroHeight="1" x14ac:dyDescent="0.2"/>
  <cols>
    <col min="1" max="1" width="6.3203125" customWidth="1"/>
    <col min="2" max="2" width="6.05078125" style="5" bestFit="1" customWidth="1"/>
    <col min="3" max="3" width="9.81640625" style="10" bestFit="1" customWidth="1"/>
    <col min="4" max="4" width="5.24609375" style="10" bestFit="1" customWidth="1"/>
    <col min="5" max="5" width="17.75390625" style="10" bestFit="1" customWidth="1"/>
    <col min="6" max="6" width="25.69140625" style="11" customWidth="1"/>
    <col min="7" max="7" width="2.6875" style="42" customWidth="1"/>
    <col min="8" max="8" width="2.6875" customWidth="1"/>
    <col min="9" max="9" width="2.6875" style="42" customWidth="1"/>
    <col min="10" max="10" width="25.69140625" style="12" customWidth="1"/>
    <col min="11" max="11" width="13.31640625" style="51" hidden="1" customWidth="1"/>
    <col min="12" max="13" width="3.2265625" customWidth="1"/>
    <col min="14" max="14" width="2.82421875" style="1" customWidth="1"/>
    <col min="15" max="15" width="2.015625" style="109" bestFit="1" customWidth="1"/>
    <col min="16" max="16" width="26.09765625" style="113" customWidth="1"/>
    <col min="17" max="17" width="4.70703125" style="322" customWidth="1"/>
    <col min="18" max="18" width="3.765625" style="322" customWidth="1"/>
    <col min="19" max="19" width="1.8828125" style="322" customWidth="1"/>
    <col min="20" max="20" width="2.28515625" style="322" customWidth="1"/>
    <col min="21" max="21" width="3.765625" style="322" customWidth="1"/>
    <col min="22" max="22" width="2.015625" style="322" customWidth="1"/>
    <col min="23" max="24" width="3.765625" style="322" hidden="1" customWidth="1"/>
    <col min="25" max="25" width="12.9140625" style="1" customWidth="1"/>
    <col min="26" max="36" width="9.14453125" hidden="1" customWidth="1"/>
    <col min="37" max="37" width="8.47265625" hidden="1" customWidth="1"/>
    <col min="38" max="38" width="8.7421875" hidden="1" customWidth="1"/>
    <col min="39" max="39" width="10.0859375" hidden="1" customWidth="1"/>
    <col min="40" max="230" width="9.14453125" hidden="1" customWidth="1"/>
    <col min="231" max="231" width="7.26171875" hidden="1" customWidth="1"/>
    <col min="232" max="16384" width="9.14453125" hidden="1"/>
  </cols>
  <sheetData>
    <row r="1" spans="1:25" s="58" customFormat="1" ht="15" customHeight="1" x14ac:dyDescent="0.2">
      <c r="B1" s="496" t="s">
        <v>94</v>
      </c>
      <c r="C1" s="498" t="s">
        <v>95</v>
      </c>
      <c r="D1" s="498" t="s">
        <v>74</v>
      </c>
      <c r="E1" s="500" t="s">
        <v>75</v>
      </c>
      <c r="F1" s="487" t="s">
        <v>96</v>
      </c>
      <c r="G1" s="488"/>
      <c r="H1" s="488"/>
      <c r="I1" s="488"/>
      <c r="J1" s="489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 x14ac:dyDescent="0.25">
      <c r="B2" s="497"/>
      <c r="C2" s="499"/>
      <c r="D2" s="499"/>
      <c r="E2" s="501"/>
      <c r="F2" s="490"/>
      <c r="G2" s="491"/>
      <c r="H2" s="491"/>
      <c r="I2" s="491"/>
      <c r="J2" s="492"/>
      <c r="K2" s="51"/>
      <c r="L2" s="493"/>
      <c r="M2" s="494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 x14ac:dyDescent="0.25">
      <c r="A3" s="60" t="s">
        <v>284</v>
      </c>
      <c r="B3" s="48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74">
        <v>1</v>
      </c>
      <c r="H3" s="356" t="s">
        <v>0</v>
      </c>
      <c r="I3" s="386">
        <v>1</v>
      </c>
      <c r="J3" s="77" t="s">
        <v>142</v>
      </c>
      <c r="K3" s="52"/>
      <c r="L3" s="495">
        <f>IF(OR(Copa2022!F11="",G3=""),"",
IF(AND(Copa2022!F11=G3,Copa2022!H11=I3),Regras!$J$25,IF(Y3=Regras!F25,Regras!$J$26,0)))</f>
        <v>0</v>
      </c>
      <c r="M3" s="495"/>
      <c r="N3" s="318"/>
      <c r="O3" s="502" t="s">
        <v>220</v>
      </c>
      <c r="P3" s="526"/>
      <c r="Q3" s="324" t="str">
        <f>IF(Copa2022!F16="","",IF(Copa2022!O12=Denise!P4,Regras!$J$27,0))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empate</v>
      </c>
    </row>
    <row r="4" spans="1:25" s="60" customFormat="1" ht="35.1" customHeight="1" x14ac:dyDescent="0.2">
      <c r="A4" s="60" t="s">
        <v>285</v>
      </c>
      <c r="B4" s="485"/>
      <c r="C4" s="171">
        <v>44886</v>
      </c>
      <c r="D4" s="194" t="s">
        <v>134</v>
      </c>
      <c r="E4" s="172" t="s">
        <v>157</v>
      </c>
      <c r="F4" s="78" t="s">
        <v>131</v>
      </c>
      <c r="G4" s="375">
        <v>1</v>
      </c>
      <c r="H4" s="358" t="s">
        <v>0</v>
      </c>
      <c r="I4" s="387">
        <v>1</v>
      </c>
      <c r="J4" s="81" t="s">
        <v>140</v>
      </c>
      <c r="K4" s="52"/>
      <c r="L4" s="495">
        <f>IF(OR(Copa2022!F12="",G4=""),"",
IF(AND(Copa2022!F12=G4,Copa2022!H12=I4),Regras!$J$25,IF(Y4=Regras!F26,Regras!$J$26,0)))</f>
        <v>0</v>
      </c>
      <c r="M4" s="495"/>
      <c r="N4" s="318"/>
      <c r="O4" s="378">
        <v>1</v>
      </c>
      <c r="P4" s="377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empate</v>
      </c>
    </row>
    <row r="5" spans="1:25" s="60" customFormat="1" ht="35.1" customHeight="1" thickBot="1" x14ac:dyDescent="0.25">
      <c r="A5" s="60" t="s">
        <v>286</v>
      </c>
      <c r="B5" s="485"/>
      <c r="C5" s="171">
        <v>44890</v>
      </c>
      <c r="D5" s="194" t="s">
        <v>135</v>
      </c>
      <c r="E5" s="172" t="s">
        <v>157</v>
      </c>
      <c r="F5" s="78" t="s">
        <v>141</v>
      </c>
      <c r="G5" s="375">
        <v>1</v>
      </c>
      <c r="H5" s="358" t="s">
        <v>0</v>
      </c>
      <c r="I5" s="387">
        <v>0</v>
      </c>
      <c r="J5" s="81" t="s">
        <v>131</v>
      </c>
      <c r="K5" s="52"/>
      <c r="L5" s="495" t="str">
        <f>IF(OR(Copa2022!F13="",G5=""),"",
IF(AND(Copa2022!F13=G5,Copa2022!H13=I5),Regras!$J$25,IF(Y5=Regras!F27,Regras!$J$26,0)))</f>
        <v/>
      </c>
      <c r="M5" s="495"/>
      <c r="N5" s="318"/>
      <c r="O5" s="381">
        <v>2</v>
      </c>
      <c r="P5" s="382" t="s">
        <v>141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 x14ac:dyDescent="0.2">
      <c r="A6" s="60" t="s">
        <v>287</v>
      </c>
      <c r="B6" s="485"/>
      <c r="C6" s="171">
        <v>44890</v>
      </c>
      <c r="D6" s="194" t="s">
        <v>134</v>
      </c>
      <c r="E6" s="172" t="s">
        <v>143</v>
      </c>
      <c r="F6" s="78" t="s">
        <v>140</v>
      </c>
      <c r="G6" s="375">
        <v>2</v>
      </c>
      <c r="H6" s="358" t="s">
        <v>0</v>
      </c>
      <c r="I6" s="387">
        <v>0</v>
      </c>
      <c r="J6" s="81" t="s">
        <v>142</v>
      </c>
      <c r="K6" s="52"/>
      <c r="L6" s="495" t="str">
        <f>IF(OR(Copa2022!F14="",G6=""),"",
IF(AND(Copa2022!F14=G6,Copa2022!H14=I6),Regras!$J$25,IF(Y6=Regras!F28,Regras!$J$26,0)))</f>
        <v/>
      </c>
      <c r="M6" s="495"/>
      <c r="N6" s="318"/>
      <c r="O6" s="378">
        <v>3</v>
      </c>
      <c r="P6" s="377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 x14ac:dyDescent="0.25">
      <c r="A7" s="60" t="s">
        <v>288</v>
      </c>
      <c r="B7" s="485"/>
      <c r="C7" s="171">
        <v>44894</v>
      </c>
      <c r="D7" s="194" t="s">
        <v>132</v>
      </c>
      <c r="E7" s="172" t="s">
        <v>161</v>
      </c>
      <c r="F7" s="78" t="s">
        <v>140</v>
      </c>
      <c r="G7" s="375">
        <v>1</v>
      </c>
      <c r="H7" s="358" t="s">
        <v>0</v>
      </c>
      <c r="I7" s="387">
        <v>0</v>
      </c>
      <c r="J7" s="81" t="s">
        <v>141</v>
      </c>
      <c r="K7" s="52"/>
      <c r="L7" s="495" t="str">
        <f>IF(OR(Copa2022!F15="",G7=""),"",
IF(AND(Copa2022!F15=G7,Copa2022!H15=I7),Regras!$J$25,IF(Y7=Regras!F29,Regras!$J$26,0)))</f>
        <v/>
      </c>
      <c r="M7" s="495"/>
      <c r="N7" s="318"/>
      <c r="O7" s="379">
        <v>4</v>
      </c>
      <c r="P7" s="380" t="s">
        <v>131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 x14ac:dyDescent="0.25">
      <c r="A8" s="60" t="s">
        <v>289</v>
      </c>
      <c r="B8" s="486"/>
      <c r="C8" s="173">
        <v>44590</v>
      </c>
      <c r="D8" s="195" t="s">
        <v>132</v>
      </c>
      <c r="E8" s="174" t="s">
        <v>143</v>
      </c>
      <c r="F8" s="86" t="s">
        <v>142</v>
      </c>
      <c r="G8" s="376">
        <v>2</v>
      </c>
      <c r="H8" s="362" t="s">
        <v>0</v>
      </c>
      <c r="I8" s="388">
        <v>1</v>
      </c>
      <c r="J8" s="89" t="s">
        <v>131</v>
      </c>
      <c r="K8" s="52"/>
      <c r="L8" s="495" t="str">
        <f>IF(OR(Copa2022!F16="",G8=""),"",
IF(AND(Copa2022!F16=G8,Copa2022!H16=I8),Regras!$J$25,IF(Y8=Regras!F30,Regras!$J$26,0)))</f>
        <v/>
      </c>
      <c r="M8" s="495"/>
      <c r="N8" s="318"/>
      <c r="O8" s="385"/>
      <c r="P8" s="38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 x14ac:dyDescent="0.25">
      <c r="A9" s="60" t="s">
        <v>290</v>
      </c>
      <c r="B9" s="48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59">
        <v>2</v>
      </c>
      <c r="H9" s="360" t="s">
        <v>0</v>
      </c>
      <c r="I9" s="368">
        <v>1</v>
      </c>
      <c r="J9" s="85" t="s">
        <v>123</v>
      </c>
      <c r="K9" s="52"/>
      <c r="L9" s="495">
        <f>IF(OR(Copa2022!F17="",G9=""),"",
IF(AND(Copa2022!F17=G9,Copa2022!H17=I9),Regras!$J$25,IF(Y9=Regras!F31,Regras!$J$26,0)))</f>
        <v>5</v>
      </c>
      <c r="M9" s="495"/>
      <c r="N9" s="318"/>
      <c r="O9" s="502" t="s">
        <v>48</v>
      </c>
      <c r="P9" s="503"/>
      <c r="Q9" s="324" t="str">
        <f>IF(Copa2022!F22="","",IF(Copa2022!O18=Denise!P10,Regras!$J$27,0))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 x14ac:dyDescent="0.2">
      <c r="A10" s="60" t="s">
        <v>291</v>
      </c>
      <c r="B10" s="485"/>
      <c r="C10" s="171">
        <v>44886</v>
      </c>
      <c r="D10" s="194" t="s">
        <v>136</v>
      </c>
      <c r="E10" s="177" t="s">
        <v>162</v>
      </c>
      <c r="F10" s="78" t="s">
        <v>145</v>
      </c>
      <c r="G10" s="375">
        <v>1</v>
      </c>
      <c r="H10" s="358" t="s">
        <v>0</v>
      </c>
      <c r="I10" s="387">
        <v>1</v>
      </c>
      <c r="J10" s="81" t="s">
        <v>158</v>
      </c>
      <c r="K10" s="52"/>
      <c r="L10" s="495">
        <f>IF(OR(Copa2022!F18="",G10=""),"",
IF(AND(Copa2022!F18=G10,Copa2022!H18=I10),Regras!$J$25,IF(Y10=Regras!F32,Regras!$J$26,0)))</f>
        <v>10</v>
      </c>
      <c r="M10" s="495"/>
      <c r="N10" s="318"/>
      <c r="O10" s="378">
        <v>1</v>
      </c>
      <c r="P10" s="377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empate</v>
      </c>
    </row>
    <row r="11" spans="1:25" s="60" customFormat="1" ht="35.1" customHeight="1" thickBot="1" x14ac:dyDescent="0.25">
      <c r="A11" s="60" t="s">
        <v>292</v>
      </c>
      <c r="B11" s="485"/>
      <c r="C11" s="171">
        <v>44890</v>
      </c>
      <c r="D11" s="194" t="s">
        <v>133</v>
      </c>
      <c r="E11" s="177" t="s">
        <v>162</v>
      </c>
      <c r="F11" s="78" t="s">
        <v>158</v>
      </c>
      <c r="G11" s="375">
        <v>0</v>
      </c>
      <c r="H11" s="358" t="s">
        <v>0</v>
      </c>
      <c r="I11" s="387">
        <v>1</v>
      </c>
      <c r="J11" s="81" t="s">
        <v>123</v>
      </c>
      <c r="K11" s="52"/>
      <c r="L11" s="495" t="str">
        <f>IF(OR(Copa2022!F19="",G11=""),"",
IF(AND(Copa2022!F19=G11,Copa2022!H19=I11),Regras!$J$25,IF(Y11=Regras!F33,Regras!$J$26,0)))</f>
        <v/>
      </c>
      <c r="M11" s="495"/>
      <c r="N11" s="318"/>
      <c r="O11" s="381">
        <v>2</v>
      </c>
      <c r="P11" s="382" t="s">
        <v>123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 x14ac:dyDescent="0.2">
      <c r="A12" s="60" t="s">
        <v>293</v>
      </c>
      <c r="B12" s="485"/>
      <c r="C12" s="171">
        <v>44890</v>
      </c>
      <c r="D12" s="194" t="s">
        <v>136</v>
      </c>
      <c r="E12" s="177" t="s">
        <v>161</v>
      </c>
      <c r="F12" s="78" t="s">
        <v>6</v>
      </c>
      <c r="G12" s="375">
        <v>1</v>
      </c>
      <c r="H12" s="358" t="s">
        <v>0</v>
      </c>
      <c r="I12" s="387">
        <v>0</v>
      </c>
      <c r="J12" s="81" t="s">
        <v>145</v>
      </c>
      <c r="K12" s="52"/>
      <c r="L12" s="495" t="str">
        <f>IF(OR(Copa2022!F20="",G12=""),"",
IF(AND(Copa2022!F20=G12,Copa2022!H20=I12),Regras!$J$25,IF(Y12=Regras!F34,Regras!$J$26,0)))</f>
        <v/>
      </c>
      <c r="M12" s="495"/>
      <c r="N12" s="318"/>
      <c r="O12" s="378">
        <v>3</v>
      </c>
      <c r="P12" s="377" t="s">
        <v>145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 x14ac:dyDescent="0.25">
      <c r="A13" s="60" t="s">
        <v>294</v>
      </c>
      <c r="B13" s="485"/>
      <c r="C13" s="171">
        <v>44894</v>
      </c>
      <c r="D13" s="194" t="s">
        <v>136</v>
      </c>
      <c r="E13" s="177" t="s">
        <v>162</v>
      </c>
      <c r="F13" s="78" t="s">
        <v>158</v>
      </c>
      <c r="G13" s="375">
        <v>0</v>
      </c>
      <c r="H13" s="358" t="s">
        <v>0</v>
      </c>
      <c r="I13" s="387">
        <v>2</v>
      </c>
      <c r="J13" s="81" t="s">
        <v>6</v>
      </c>
      <c r="K13" s="52"/>
      <c r="L13" s="495" t="str">
        <f>IF(OR(Copa2022!F21="",G13=""),"",
IF(AND(Copa2022!F21=G13,Copa2022!H21=I13),Regras!$J$25,IF(Y13=Regras!F35,Regras!$J$26,0)))</f>
        <v/>
      </c>
      <c r="M13" s="495"/>
      <c r="N13" s="318"/>
      <c r="O13" s="379">
        <v>4</v>
      </c>
      <c r="P13" s="380" t="s">
        <v>158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 x14ac:dyDescent="0.25">
      <c r="A14" s="60" t="s">
        <v>295</v>
      </c>
      <c r="B14" s="486"/>
      <c r="C14" s="173">
        <v>44894</v>
      </c>
      <c r="D14" s="195" t="s">
        <v>136</v>
      </c>
      <c r="E14" s="178" t="s">
        <v>157</v>
      </c>
      <c r="F14" s="90" t="s">
        <v>123</v>
      </c>
      <c r="G14" s="363">
        <v>1</v>
      </c>
      <c r="H14" s="364" t="s">
        <v>0</v>
      </c>
      <c r="I14" s="369">
        <v>1</v>
      </c>
      <c r="J14" s="93" t="s">
        <v>145</v>
      </c>
      <c r="K14" s="52"/>
      <c r="L14" s="495" t="str">
        <f>IF(OR(Copa2022!F22="",G14=""),"",
IF(AND(Copa2022!F22=G14,Copa2022!H22=I14),Regras!$J$25,IF(Y14=Regras!F36,Regras!$J$26,0)))</f>
        <v/>
      </c>
      <c r="M14" s="495"/>
      <c r="N14" s="318"/>
      <c r="O14" s="373"/>
      <c r="P14" s="377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 x14ac:dyDescent="0.25">
      <c r="A15" s="60" t="s">
        <v>296</v>
      </c>
      <c r="B15" s="48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74">
        <v>2</v>
      </c>
      <c r="H15" s="356" t="s">
        <v>0</v>
      </c>
      <c r="I15" s="386">
        <v>0</v>
      </c>
      <c r="J15" s="77" t="s">
        <v>125</v>
      </c>
      <c r="K15" s="52"/>
      <c r="L15" s="495">
        <f>IF(OR(Copa2022!F23="",G15=""),"",
IF(AND(Copa2022!F23=G15,Copa2022!H23=I15),Regras!$J$25,IF(Y15=Regras!F37,Regras!$J$26,0)))</f>
        <v>0</v>
      </c>
      <c r="M15" s="495"/>
      <c r="N15" s="318"/>
      <c r="O15" s="502" t="s">
        <v>50</v>
      </c>
      <c r="P15" s="503"/>
      <c r="Q15" s="324" t="str">
        <f>IF(Copa2022!F28="","",IF(Copa2022!O24=Denise!P16,Regras!$J$27,0))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 x14ac:dyDescent="0.2">
      <c r="A16" s="60" t="s">
        <v>297</v>
      </c>
      <c r="B16" s="485"/>
      <c r="C16" s="171">
        <v>44887</v>
      </c>
      <c r="D16" s="194" t="s">
        <v>134</v>
      </c>
      <c r="E16" s="172" t="s">
        <v>163</v>
      </c>
      <c r="F16" s="78" t="s">
        <v>1</v>
      </c>
      <c r="G16" s="375">
        <v>1</v>
      </c>
      <c r="H16" s="358" t="s">
        <v>0</v>
      </c>
      <c r="I16" s="387">
        <v>1</v>
      </c>
      <c r="J16" s="81" t="s">
        <v>130</v>
      </c>
      <c r="K16" s="52"/>
      <c r="L16" s="495">
        <f>IF(OR(Copa2022!F24="",G16=""),"",
IF(AND(Copa2022!F24=G16,Copa2022!H24=I16),Regras!$J$25,IF(Y16=Regras!F38,Regras!$J$26,0)))</f>
        <v>5</v>
      </c>
      <c r="M16" s="495"/>
      <c r="N16" s="318"/>
      <c r="O16" s="378">
        <v>1</v>
      </c>
      <c r="P16" s="377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empate</v>
      </c>
    </row>
    <row r="17" spans="1:25" s="60" customFormat="1" ht="35.1" customHeight="1" thickBot="1" x14ac:dyDescent="0.25">
      <c r="A17" s="60" t="s">
        <v>298</v>
      </c>
      <c r="B17" s="485"/>
      <c r="C17" s="171">
        <v>44891</v>
      </c>
      <c r="D17" s="194" t="s">
        <v>135</v>
      </c>
      <c r="E17" s="172" t="s">
        <v>148</v>
      </c>
      <c r="F17" s="78" t="s">
        <v>130</v>
      </c>
      <c r="G17" s="375">
        <v>1</v>
      </c>
      <c r="H17" s="358" t="s">
        <v>0</v>
      </c>
      <c r="I17" s="387">
        <v>1</v>
      </c>
      <c r="J17" s="81" t="s">
        <v>125</v>
      </c>
      <c r="K17" s="52"/>
      <c r="L17" s="495" t="str">
        <f>IF(OR(Copa2022!F25="",G17=""),"",
IF(AND(Copa2022!F25=G17,Copa2022!H25=I17),Regras!$J$25,IF(Y17=Regras!F39,Regras!$J$26,0)))</f>
        <v/>
      </c>
      <c r="M17" s="495"/>
      <c r="N17" s="318"/>
      <c r="O17" s="381">
        <v>2</v>
      </c>
      <c r="P17" s="382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 x14ac:dyDescent="0.2">
      <c r="A18" s="60" t="s">
        <v>299</v>
      </c>
      <c r="B18" s="485"/>
      <c r="C18" s="171">
        <v>44891</v>
      </c>
      <c r="D18" s="194" t="s">
        <v>136</v>
      </c>
      <c r="E18" s="172" t="s">
        <v>146</v>
      </c>
      <c r="F18" s="78" t="s">
        <v>4</v>
      </c>
      <c r="G18" s="375">
        <v>1</v>
      </c>
      <c r="H18" s="358" t="s">
        <v>0</v>
      </c>
      <c r="I18" s="387">
        <v>0</v>
      </c>
      <c r="J18" s="81" t="s">
        <v>1</v>
      </c>
      <c r="K18" s="52"/>
      <c r="L18" s="495" t="str">
        <f>IF(OR(Copa2022!F26="",G18=""),"",
IF(AND(Copa2022!F26=G18,Copa2022!H26=I18),Regras!$J$25,IF(Y18=Regras!F40,Regras!$J$26,0)))</f>
        <v/>
      </c>
      <c r="M18" s="495"/>
      <c r="N18" s="318"/>
      <c r="O18" s="378" t="s">
        <v>105</v>
      </c>
      <c r="P18" s="377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 x14ac:dyDescent="0.25">
      <c r="A19" s="60" t="s">
        <v>300</v>
      </c>
      <c r="B19" s="485"/>
      <c r="C19" s="171">
        <v>44895</v>
      </c>
      <c r="D19" s="194" t="s">
        <v>136</v>
      </c>
      <c r="E19" s="172" t="s">
        <v>163</v>
      </c>
      <c r="F19" s="78" t="s">
        <v>130</v>
      </c>
      <c r="G19" s="375">
        <v>0</v>
      </c>
      <c r="H19" s="358" t="s">
        <v>0</v>
      </c>
      <c r="I19" s="387">
        <v>1</v>
      </c>
      <c r="J19" s="81" t="s">
        <v>4</v>
      </c>
      <c r="K19" s="52"/>
      <c r="L19" s="495" t="str">
        <f>IF(OR(Copa2022!F27="",G19=""),"",
IF(AND(Copa2022!F27=G19,Copa2022!H27=I19),Regras!$J$25,IF(Y19=Regras!F41,Regras!$J$26,0)))</f>
        <v/>
      </c>
      <c r="M19" s="495"/>
      <c r="N19" s="318"/>
      <c r="O19" s="379">
        <v>4</v>
      </c>
      <c r="P19" s="380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 x14ac:dyDescent="0.25">
      <c r="A20" s="60" t="s">
        <v>301</v>
      </c>
      <c r="B20" s="486"/>
      <c r="C20" s="173">
        <v>44895</v>
      </c>
      <c r="D20" s="195" t="s">
        <v>136</v>
      </c>
      <c r="E20" s="174" t="s">
        <v>146</v>
      </c>
      <c r="F20" s="86" t="s">
        <v>125</v>
      </c>
      <c r="G20" s="376">
        <v>1</v>
      </c>
      <c r="H20" s="362" t="s">
        <v>0</v>
      </c>
      <c r="I20" s="388">
        <v>1</v>
      </c>
      <c r="J20" s="89" t="s">
        <v>1</v>
      </c>
      <c r="K20" s="52"/>
      <c r="L20" s="495" t="str">
        <f>IF(OR(Copa2022!F28="",G20=""),"",
IF(AND(Copa2022!F28=G20,Copa2022!H28=I20),Regras!$J$25,IF(Y20=Regras!F42,Regras!$J$26,0)))</f>
        <v/>
      </c>
      <c r="M20" s="495"/>
      <c r="N20" s="318"/>
      <c r="O20" s="373"/>
      <c r="P20" s="377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 x14ac:dyDescent="0.25">
      <c r="A21" s="60" t="s">
        <v>302</v>
      </c>
      <c r="B21" s="48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59">
        <v>1</v>
      </c>
      <c r="H21" s="360" t="s">
        <v>0</v>
      </c>
      <c r="I21" s="368">
        <v>0</v>
      </c>
      <c r="J21" s="85" t="s">
        <v>129</v>
      </c>
      <c r="K21" s="52"/>
      <c r="L21" s="495">
        <f>IF(OR(Copa2022!F29="",G21=""),"",
IF(AND(Copa2022!F29=G21,Copa2022!H29=I21),Regras!$J$25,IF(Y21=Regras!F43,Regras!$J$26,0)))</f>
        <v>0</v>
      </c>
      <c r="M21" s="495"/>
      <c r="N21" s="318"/>
      <c r="O21" s="502" t="s">
        <v>51</v>
      </c>
      <c r="P21" s="503"/>
      <c r="Q21" s="324" t="str">
        <f>IF(Copa2022!F34="","",IF(Copa2022!O30=Denise!P22,Regras!$J$27,0))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 x14ac:dyDescent="0.2">
      <c r="A22" s="60" t="s">
        <v>303</v>
      </c>
      <c r="B22" s="485"/>
      <c r="C22" s="171">
        <v>44887</v>
      </c>
      <c r="D22" s="194" t="s">
        <v>136</v>
      </c>
      <c r="E22" s="177" t="s">
        <v>164</v>
      </c>
      <c r="F22" s="78" t="s">
        <v>3</v>
      </c>
      <c r="G22" s="375">
        <v>2</v>
      </c>
      <c r="H22" s="358" t="s">
        <v>0</v>
      </c>
      <c r="I22" s="387">
        <v>0</v>
      </c>
      <c r="J22" s="81" t="s">
        <v>159</v>
      </c>
      <c r="K22" s="52"/>
      <c r="L22" s="495">
        <f>IF(OR(Copa2022!F30="",G22=""),"",
IF(AND(Copa2022!F30=G22,Copa2022!H30=I22),Regras!$J$25,IF(Y22=Regras!F44,Regras!$J$26,0)))</f>
        <v>5</v>
      </c>
      <c r="M22" s="495"/>
      <c r="N22" s="318"/>
      <c r="O22" s="378">
        <v>1</v>
      </c>
      <c r="P22" s="377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 x14ac:dyDescent="0.25">
      <c r="A23" s="60" t="s">
        <v>304</v>
      </c>
      <c r="B23" s="485"/>
      <c r="C23" s="171">
        <v>44891</v>
      </c>
      <c r="D23" s="194" t="s">
        <v>133</v>
      </c>
      <c r="E23" s="177" t="s">
        <v>164</v>
      </c>
      <c r="F23" s="78" t="s">
        <v>129</v>
      </c>
      <c r="G23" s="375">
        <v>0</v>
      </c>
      <c r="H23" s="358" t="s">
        <v>0</v>
      </c>
      <c r="I23" s="387">
        <v>1</v>
      </c>
      <c r="J23" s="81" t="s">
        <v>159</v>
      </c>
      <c r="K23" s="52"/>
      <c r="L23" s="495" t="str">
        <f>IF(OR(Copa2022!F31="",G23=""),"",
IF(AND(Copa2022!F31=G23,Copa2022!H31=I23),Regras!$J$25,IF(Y23=Regras!F45,Regras!$J$26,0)))</f>
        <v/>
      </c>
      <c r="M23" s="495"/>
      <c r="N23" s="318"/>
      <c r="O23" s="381">
        <v>2</v>
      </c>
      <c r="P23" s="382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 x14ac:dyDescent="0.2">
      <c r="A24" s="60" t="s">
        <v>305</v>
      </c>
      <c r="B24" s="485"/>
      <c r="C24" s="171">
        <v>44891</v>
      </c>
      <c r="D24" s="194" t="s">
        <v>134</v>
      </c>
      <c r="E24" s="177" t="s">
        <v>163</v>
      </c>
      <c r="F24" s="78" t="s">
        <v>3</v>
      </c>
      <c r="G24" s="375">
        <v>2</v>
      </c>
      <c r="H24" s="358" t="s">
        <v>0</v>
      </c>
      <c r="I24" s="387">
        <v>0</v>
      </c>
      <c r="J24" s="81" t="s">
        <v>127</v>
      </c>
      <c r="K24" s="52"/>
      <c r="L24" s="495" t="str">
        <f>IF(OR(Copa2022!F32="",G24=""),"",
IF(AND(Copa2022!F32=G24,Copa2022!H32=I24),Regras!$J$25,IF(Y24=Regras!F46,Regras!$J$26,0)))</f>
        <v/>
      </c>
      <c r="M24" s="495"/>
      <c r="N24" s="318"/>
      <c r="O24" s="378">
        <v>3</v>
      </c>
      <c r="P24" s="377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 x14ac:dyDescent="0.25">
      <c r="A25" s="60" t="s">
        <v>306</v>
      </c>
      <c r="B25" s="485"/>
      <c r="C25" s="171">
        <v>44895</v>
      </c>
      <c r="D25" s="194" t="s">
        <v>132</v>
      </c>
      <c r="E25" s="177" t="s">
        <v>148</v>
      </c>
      <c r="F25" s="78" t="s">
        <v>129</v>
      </c>
      <c r="G25" s="375">
        <v>0</v>
      </c>
      <c r="H25" s="358" t="s">
        <v>0</v>
      </c>
      <c r="I25" s="387">
        <v>1</v>
      </c>
      <c r="J25" s="81" t="s">
        <v>3</v>
      </c>
      <c r="K25" s="52"/>
      <c r="L25" s="495" t="str">
        <f>IF(OR(Copa2022!F33="",G25=""),"",
IF(AND(Copa2022!F33=G25,Copa2022!H33=I25),Regras!$J$25,IF(Y25=Regras!F47,Regras!$J$26,0)))</f>
        <v/>
      </c>
      <c r="M25" s="495"/>
      <c r="N25" s="318"/>
      <c r="O25" s="379">
        <v>4</v>
      </c>
      <c r="P25" s="380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 x14ac:dyDescent="0.25">
      <c r="A26" s="60" t="s">
        <v>307</v>
      </c>
      <c r="B26" s="486"/>
      <c r="C26" s="173">
        <v>44895</v>
      </c>
      <c r="D26" s="195" t="s">
        <v>132</v>
      </c>
      <c r="E26" s="178" t="s">
        <v>164</v>
      </c>
      <c r="F26" s="90" t="s">
        <v>159</v>
      </c>
      <c r="G26" s="363">
        <v>0</v>
      </c>
      <c r="H26" s="364" t="s">
        <v>0</v>
      </c>
      <c r="I26" s="369">
        <v>1</v>
      </c>
      <c r="J26" s="93" t="s">
        <v>127</v>
      </c>
      <c r="K26" s="52"/>
      <c r="L26" s="495" t="str">
        <f>IF(OR(Copa2022!F34="",G26=""),"",
IF(AND(Copa2022!F34=G26,Copa2022!H34=I26),Regras!$J$25,IF(Y26=Regras!F48,Regras!$J$26,0)))</f>
        <v/>
      </c>
      <c r="M26" s="495"/>
      <c r="N26" s="318"/>
      <c r="O26" s="373"/>
      <c r="P26" s="377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 x14ac:dyDescent="0.25">
      <c r="A27" s="60" t="s">
        <v>308</v>
      </c>
      <c r="B27" s="48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74">
        <v>1</v>
      </c>
      <c r="H27" s="356" t="s">
        <v>0</v>
      </c>
      <c r="I27" s="386">
        <v>0</v>
      </c>
      <c r="J27" s="77" t="s">
        <v>8</v>
      </c>
      <c r="K27" s="52"/>
      <c r="L27" s="495" t="str">
        <f>IF(OR(Copa2022!F35="",G27=""),"",
IF(AND(Copa2022!F35=G27,Copa2022!H35=I27),Regras!$J$25,IF(Y27=Regras!F49,Regras!$J$26,0)))</f>
        <v/>
      </c>
      <c r="M27" s="495"/>
      <c r="N27" s="318"/>
      <c r="O27" s="502" t="s">
        <v>53</v>
      </c>
      <c r="P27" s="503"/>
      <c r="Q27" s="324" t="str">
        <f>IF(Copa2022!F40="","",IF(Copa2022!O36=Denise!P28,Regras!$J$27,0))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 x14ac:dyDescent="0.2">
      <c r="A28" s="60" t="s">
        <v>309</v>
      </c>
      <c r="B28" s="485"/>
      <c r="C28" s="171">
        <v>44888</v>
      </c>
      <c r="D28" s="194" t="s">
        <v>134</v>
      </c>
      <c r="E28" s="172" t="s">
        <v>157</v>
      </c>
      <c r="F28" s="78" t="s">
        <v>11</v>
      </c>
      <c r="G28" s="375">
        <v>2</v>
      </c>
      <c r="H28" s="358" t="s">
        <v>0</v>
      </c>
      <c r="I28" s="387">
        <v>0</v>
      </c>
      <c r="J28" s="81" t="s">
        <v>160</v>
      </c>
      <c r="K28" s="52"/>
      <c r="L28" s="495" t="str">
        <f>IF(OR(Copa2022!F36="",G28=""),"",
IF(AND(Copa2022!F36=G28,Copa2022!H36=I28),Regras!$J$25,IF(Y28=Regras!F50,Regras!$J$26,0)))</f>
        <v/>
      </c>
      <c r="M28" s="495"/>
      <c r="N28" s="318"/>
      <c r="O28" s="378">
        <v>1</v>
      </c>
      <c r="P28" s="377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 x14ac:dyDescent="0.25">
      <c r="A29" s="60" t="s">
        <v>310</v>
      </c>
      <c r="B29" s="485"/>
      <c r="C29" s="171">
        <v>44892</v>
      </c>
      <c r="D29" s="194" t="s">
        <v>133</v>
      </c>
      <c r="E29" s="172" t="s">
        <v>162</v>
      </c>
      <c r="F29" s="78" t="s">
        <v>8</v>
      </c>
      <c r="G29" s="375">
        <v>1</v>
      </c>
      <c r="H29" s="358" t="s">
        <v>0</v>
      </c>
      <c r="I29" s="387">
        <v>0</v>
      </c>
      <c r="J29" s="81" t="s">
        <v>160</v>
      </c>
      <c r="K29" s="52"/>
      <c r="L29" s="495" t="str">
        <f>IF(OR(Copa2022!F37="",G29=""),"",
IF(AND(Copa2022!F37=G29,Copa2022!H37=I29),Regras!$J$25,IF(Y29=Regras!F51,Regras!$J$26,0)))</f>
        <v/>
      </c>
      <c r="M29" s="495"/>
      <c r="N29" s="318"/>
      <c r="O29" s="381">
        <v>2</v>
      </c>
      <c r="P29" s="382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 x14ac:dyDescent="0.2">
      <c r="A30" s="60" t="s">
        <v>311</v>
      </c>
      <c r="B30" s="485"/>
      <c r="C30" s="171">
        <v>44892</v>
      </c>
      <c r="D30" s="194" t="s">
        <v>136</v>
      </c>
      <c r="E30" s="172" t="s">
        <v>161</v>
      </c>
      <c r="F30" s="78" t="s">
        <v>11</v>
      </c>
      <c r="G30" s="375">
        <v>1</v>
      </c>
      <c r="H30" s="358" t="s">
        <v>0</v>
      </c>
      <c r="I30" s="387">
        <v>2</v>
      </c>
      <c r="J30" s="81" t="s">
        <v>7</v>
      </c>
      <c r="K30" s="52"/>
      <c r="L30" s="495" t="str">
        <f>IF(OR(Copa2022!F38="",G30=""),"",
IF(AND(Copa2022!F38=G30,Copa2022!H38=I30),Regras!$J$25,IF(Y30=Regras!F52,Regras!$J$26,0)))</f>
        <v/>
      </c>
      <c r="M30" s="495"/>
      <c r="N30" s="318"/>
      <c r="O30" s="378">
        <v>3</v>
      </c>
      <c r="P30" s="377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 x14ac:dyDescent="0.25">
      <c r="A31" s="60" t="s">
        <v>312</v>
      </c>
      <c r="B31" s="485"/>
      <c r="C31" s="171">
        <v>44896</v>
      </c>
      <c r="D31" s="194" t="s">
        <v>136</v>
      </c>
      <c r="E31" s="172" t="s">
        <v>143</v>
      </c>
      <c r="F31" s="78" t="s">
        <v>8</v>
      </c>
      <c r="G31" s="375">
        <v>0</v>
      </c>
      <c r="H31" s="358" t="s">
        <v>0</v>
      </c>
      <c r="I31" s="387">
        <v>2</v>
      </c>
      <c r="J31" s="81" t="s">
        <v>11</v>
      </c>
      <c r="K31" s="52"/>
      <c r="L31" s="495" t="str">
        <f>IF(OR(Copa2022!F39="",G31=""),"",
IF(AND(Copa2022!F39=G31,Copa2022!H39=I31),Regras!$J$25,IF(Y31=Regras!F53,Regras!$J$26,0)))</f>
        <v/>
      </c>
      <c r="M31" s="495"/>
      <c r="N31" s="318"/>
      <c r="O31" s="379">
        <v>4</v>
      </c>
      <c r="P31" s="380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 x14ac:dyDescent="0.25">
      <c r="A32" s="60" t="s">
        <v>313</v>
      </c>
      <c r="B32" s="486"/>
      <c r="C32" s="173">
        <v>44896</v>
      </c>
      <c r="D32" s="195" t="s">
        <v>136</v>
      </c>
      <c r="E32" s="174" t="s">
        <v>161</v>
      </c>
      <c r="F32" s="86" t="s">
        <v>160</v>
      </c>
      <c r="G32" s="376">
        <v>1</v>
      </c>
      <c r="H32" s="362" t="s">
        <v>0</v>
      </c>
      <c r="I32" s="388">
        <v>2</v>
      </c>
      <c r="J32" s="89" t="s">
        <v>7</v>
      </c>
      <c r="K32" s="52"/>
      <c r="L32" s="495" t="str">
        <f>IF(OR(Copa2022!F40="",G32=""),"",
IF(AND(Copa2022!F40=G32,Copa2022!H40=I32),Regras!$J$25,IF(Y32=Regras!F54,Regras!$J$26,0)))</f>
        <v/>
      </c>
      <c r="M32" s="495"/>
      <c r="N32" s="318"/>
      <c r="O32" s="373"/>
      <c r="P32" s="377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 x14ac:dyDescent="0.25">
      <c r="A33" s="60" t="s">
        <v>314</v>
      </c>
      <c r="B33" s="48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59">
        <v>1</v>
      </c>
      <c r="H33" s="360" t="s">
        <v>0</v>
      </c>
      <c r="I33" s="368">
        <v>1</v>
      </c>
      <c r="J33" s="85" t="s">
        <v>70</v>
      </c>
      <c r="K33" s="52"/>
      <c r="L33" s="495" t="str">
        <f>IF(OR(Copa2022!F41="",G33=""),"",
IF(AND(Copa2022!F41=G33,Copa2022!H41=I33),Regras!$J$25,IF(Y33=Regras!F55,Regras!$J$26,0)))</f>
        <v/>
      </c>
      <c r="M33" s="495"/>
      <c r="N33" s="318"/>
      <c r="O33" s="502" t="s">
        <v>56</v>
      </c>
      <c r="P33" s="503"/>
      <c r="Q33" s="324" t="str">
        <f>IF(Copa2022!F46="","",IF(Copa2022!O42=Denise!P34,Regras!$J$27,0))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/>
      </c>
    </row>
    <row r="34" spans="1:25" s="60" customFormat="1" ht="35.1" customHeight="1" x14ac:dyDescent="0.2">
      <c r="A34" s="60" t="s">
        <v>315</v>
      </c>
      <c r="B34" s="485"/>
      <c r="C34" s="171">
        <v>44888</v>
      </c>
      <c r="D34" s="194" t="s">
        <v>136</v>
      </c>
      <c r="E34" s="177" t="s">
        <v>162</v>
      </c>
      <c r="F34" s="78" t="s">
        <v>104</v>
      </c>
      <c r="G34" s="375">
        <v>2</v>
      </c>
      <c r="H34" s="358" t="s">
        <v>0</v>
      </c>
      <c r="I34" s="387">
        <v>0</v>
      </c>
      <c r="J34" s="81" t="s">
        <v>150</v>
      </c>
      <c r="K34" s="52"/>
      <c r="L34" s="495" t="str">
        <f>IF(OR(Copa2022!F42="",G34=""),"",
IF(AND(Copa2022!F42=G34,Copa2022!H42=I34),Regras!$J$25,IF(Y34=Regras!F56,Regras!$J$26,0)))</f>
        <v/>
      </c>
      <c r="M34" s="495"/>
      <c r="N34" s="318"/>
      <c r="O34" s="378">
        <v>1</v>
      </c>
      <c r="P34" s="377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 x14ac:dyDescent="0.25">
      <c r="A35" s="60" t="s">
        <v>316</v>
      </c>
      <c r="B35" s="485"/>
      <c r="C35" s="171">
        <v>44892</v>
      </c>
      <c r="D35" s="194" t="s">
        <v>135</v>
      </c>
      <c r="E35" s="177" t="s">
        <v>157</v>
      </c>
      <c r="F35" s="78" t="s">
        <v>104</v>
      </c>
      <c r="G35" s="375">
        <v>1</v>
      </c>
      <c r="H35" s="358" t="s">
        <v>0</v>
      </c>
      <c r="I35" s="387">
        <v>0</v>
      </c>
      <c r="J35" s="81" t="s">
        <v>126</v>
      </c>
      <c r="K35" s="52"/>
      <c r="L35" s="495" t="str">
        <f>IF(OR(Copa2022!F43="",G35=""),"",
IF(AND(Copa2022!F43=G35,Copa2022!H43=I35),Regras!$J$25,IF(Y35=Regras!F57,Regras!$J$26,0)))</f>
        <v/>
      </c>
      <c r="M35" s="495"/>
      <c r="N35" s="318"/>
      <c r="O35" s="381">
        <v>2</v>
      </c>
      <c r="P35" s="382" t="s">
        <v>126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 x14ac:dyDescent="0.2">
      <c r="A36" s="60" t="s">
        <v>317</v>
      </c>
      <c r="B36" s="485"/>
      <c r="C36" s="171">
        <v>44892</v>
      </c>
      <c r="D36" s="194" t="s">
        <v>134</v>
      </c>
      <c r="E36" s="177" t="s">
        <v>143</v>
      </c>
      <c r="F36" s="78" t="s">
        <v>70</v>
      </c>
      <c r="G36" s="375">
        <v>1</v>
      </c>
      <c r="H36" s="358" t="s">
        <v>0</v>
      </c>
      <c r="I36" s="387">
        <v>0</v>
      </c>
      <c r="J36" s="81" t="s">
        <v>150</v>
      </c>
      <c r="K36" s="52"/>
      <c r="L36" s="495" t="str">
        <f>IF(OR(Copa2022!F44="",G36=""),"",
IF(AND(Copa2022!F44=G36,Copa2022!H44=I36),Regras!$J$25,IF(Y36=Regras!F58,Regras!$J$26,0)))</f>
        <v/>
      </c>
      <c r="M36" s="495"/>
      <c r="N36" s="318"/>
      <c r="O36" s="378" t="s">
        <v>105</v>
      </c>
      <c r="P36" s="377" t="s">
        <v>70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 x14ac:dyDescent="0.25">
      <c r="A37" s="60" t="s">
        <v>318</v>
      </c>
      <c r="B37" s="485"/>
      <c r="C37" s="171">
        <v>44896</v>
      </c>
      <c r="D37" s="194" t="s">
        <v>132</v>
      </c>
      <c r="E37" s="177" t="s">
        <v>162</v>
      </c>
      <c r="F37" s="78" t="s">
        <v>70</v>
      </c>
      <c r="G37" s="375">
        <v>0</v>
      </c>
      <c r="H37" s="358" t="s">
        <v>0</v>
      </c>
      <c r="I37" s="387">
        <v>1</v>
      </c>
      <c r="J37" s="81" t="s">
        <v>104</v>
      </c>
      <c r="K37" s="52"/>
      <c r="L37" s="495" t="str">
        <f>IF(OR(Copa2022!F45="",G37=""),"",
IF(AND(Copa2022!F45=G37,Copa2022!H45=I37),Regras!$J$25,IF(Y37=Regras!F59,Regras!$J$26,0)))</f>
        <v/>
      </c>
      <c r="M37" s="495"/>
      <c r="N37" s="318"/>
      <c r="O37" s="379">
        <v>4</v>
      </c>
      <c r="P37" s="380" t="s">
        <v>150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 x14ac:dyDescent="0.25">
      <c r="A38" s="60" t="s">
        <v>319</v>
      </c>
      <c r="B38" s="486"/>
      <c r="C38" s="173">
        <v>44896</v>
      </c>
      <c r="D38" s="195" t="s">
        <v>132</v>
      </c>
      <c r="E38" s="178" t="s">
        <v>157</v>
      </c>
      <c r="F38" s="90" t="s">
        <v>150</v>
      </c>
      <c r="G38" s="363">
        <v>0</v>
      </c>
      <c r="H38" s="364" t="s">
        <v>0</v>
      </c>
      <c r="I38" s="369">
        <v>1</v>
      </c>
      <c r="J38" s="93" t="s">
        <v>126</v>
      </c>
      <c r="K38" s="52"/>
      <c r="L38" s="495" t="str">
        <f>IF(OR(Copa2022!F46="",G38=""),"",
IF(AND(Copa2022!F46=G38,Copa2022!H46=I38),Regras!$J$25,IF(Y38=Regras!F60,Regras!$J$26,0)))</f>
        <v/>
      </c>
      <c r="M38" s="495"/>
      <c r="N38" s="318"/>
      <c r="O38" s="373"/>
      <c r="P38" s="377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 x14ac:dyDescent="0.25">
      <c r="A39" s="60" t="s">
        <v>320</v>
      </c>
      <c r="B39" s="48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74">
        <v>2</v>
      </c>
      <c r="H39" s="356" t="s">
        <v>0</v>
      </c>
      <c r="I39" s="386">
        <v>0</v>
      </c>
      <c r="J39" s="77" t="s">
        <v>151</v>
      </c>
      <c r="K39" s="52"/>
      <c r="L39" s="495" t="str">
        <f>IF(OR(Copa2022!F47="",G39=""),"",
IF(AND(Copa2022!F47=G39,Copa2022!H47=I39),Regras!$J$25,IF(Y39=Regras!F61,Regras!$J$26,0)))</f>
        <v/>
      </c>
      <c r="M39" s="495"/>
      <c r="N39" s="318"/>
      <c r="O39" s="502" t="s">
        <v>58</v>
      </c>
      <c r="P39" s="503"/>
      <c r="Q39" s="324" t="str">
        <f>IF(Copa2022!F52="","",IF(Copa2022!O48=Denise!P40,Regras!$J$27,0))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 x14ac:dyDescent="0.2">
      <c r="A40" s="60" t="s">
        <v>321</v>
      </c>
      <c r="B40" s="485"/>
      <c r="C40" s="171">
        <v>44889</v>
      </c>
      <c r="D40" s="194" t="s">
        <v>136</v>
      </c>
      <c r="E40" s="172" t="s">
        <v>146</v>
      </c>
      <c r="F40" s="78" t="s">
        <v>10</v>
      </c>
      <c r="G40" s="375">
        <v>2</v>
      </c>
      <c r="H40" s="358" t="s">
        <v>0</v>
      </c>
      <c r="I40" s="387">
        <v>0</v>
      </c>
      <c r="J40" s="81" t="s">
        <v>128</v>
      </c>
      <c r="K40" s="52"/>
      <c r="L40" s="495" t="str">
        <f>IF(OR(Copa2022!F48="",G40=""),"",
IF(AND(Copa2022!F48=G40,Copa2022!H48=I40),Regras!$J$25,IF(Y40=Regras!F62,Regras!$J$26,0)))</f>
        <v/>
      </c>
      <c r="M40" s="495"/>
      <c r="N40" s="318"/>
      <c r="O40" s="383">
        <v>1</v>
      </c>
      <c r="P40" s="384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 x14ac:dyDescent="0.25">
      <c r="A41" s="60" t="s">
        <v>322</v>
      </c>
      <c r="B41" s="485"/>
      <c r="C41" s="171">
        <v>44893</v>
      </c>
      <c r="D41" s="194" t="s">
        <v>133</v>
      </c>
      <c r="E41" s="172" t="s">
        <v>164</v>
      </c>
      <c r="F41" s="78" t="s">
        <v>151</v>
      </c>
      <c r="G41" s="375">
        <v>0</v>
      </c>
      <c r="H41" s="358" t="s">
        <v>0</v>
      </c>
      <c r="I41" s="387">
        <v>1</v>
      </c>
      <c r="J41" s="81" t="s">
        <v>128</v>
      </c>
      <c r="K41" s="52"/>
      <c r="L41" s="495" t="str">
        <f>IF(OR(Copa2022!F49="",G41=""),"",
IF(AND(Copa2022!F49=G41,Copa2022!H49=I41),Regras!$J$25,IF(Y41=Regras!F63,Regras!$J$26,0)))</f>
        <v/>
      </c>
      <c r="M41" s="495"/>
      <c r="N41" s="318"/>
      <c r="O41" s="381">
        <v>2</v>
      </c>
      <c r="P41" s="382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 x14ac:dyDescent="0.2">
      <c r="A42" s="60" t="s">
        <v>323</v>
      </c>
      <c r="B42" s="485"/>
      <c r="C42" s="171">
        <v>44893</v>
      </c>
      <c r="D42" s="194" t="s">
        <v>134</v>
      </c>
      <c r="E42" s="172" t="s">
        <v>163</v>
      </c>
      <c r="F42" s="78" t="s">
        <v>10</v>
      </c>
      <c r="G42" s="375">
        <v>2</v>
      </c>
      <c r="H42" s="358" t="s">
        <v>0</v>
      </c>
      <c r="I42" s="387">
        <v>1</v>
      </c>
      <c r="J42" s="81" t="s">
        <v>12</v>
      </c>
      <c r="K42" s="52"/>
      <c r="L42" s="495" t="str">
        <f>IF(OR(Copa2022!F50="",G42=""),"",
IF(AND(Copa2022!F50=G42,Copa2022!H50=I42),Regras!$J$25,IF(Y42=Regras!F64,Regras!$J$26,0)))</f>
        <v/>
      </c>
      <c r="M42" s="495"/>
      <c r="N42" s="318"/>
      <c r="O42" s="378">
        <v>3</v>
      </c>
      <c r="P42" s="377" t="s">
        <v>128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 x14ac:dyDescent="0.25">
      <c r="A43" s="60" t="s">
        <v>324</v>
      </c>
      <c r="B43" s="485"/>
      <c r="C43" s="171">
        <v>44897</v>
      </c>
      <c r="D43" s="194" t="s">
        <v>136</v>
      </c>
      <c r="E43" s="172" t="s">
        <v>146</v>
      </c>
      <c r="F43" s="78" t="s">
        <v>151</v>
      </c>
      <c r="G43" s="375">
        <v>0</v>
      </c>
      <c r="H43" s="358" t="s">
        <v>0</v>
      </c>
      <c r="I43" s="387">
        <v>3</v>
      </c>
      <c r="J43" s="81" t="s">
        <v>10</v>
      </c>
      <c r="K43" s="52"/>
      <c r="L43" s="495" t="str">
        <f>IF(OR(Copa2022!F51="",G43=""),"",
IF(AND(Copa2022!F51=G43,Copa2022!H51=I43),Regras!$J$25,IF(Y43=Regras!F65,Regras!$J$26,0)))</f>
        <v/>
      </c>
      <c r="M43" s="495"/>
      <c r="N43" s="318"/>
      <c r="O43" s="379">
        <v>4</v>
      </c>
      <c r="P43" s="380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 x14ac:dyDescent="0.25">
      <c r="A44" s="60" t="s">
        <v>325</v>
      </c>
      <c r="B44" s="486"/>
      <c r="C44" s="173">
        <v>44897</v>
      </c>
      <c r="D44" s="195" t="s">
        <v>136</v>
      </c>
      <c r="E44" s="174" t="s">
        <v>163</v>
      </c>
      <c r="F44" s="86" t="s">
        <v>128</v>
      </c>
      <c r="G44" s="376">
        <v>1</v>
      </c>
      <c r="H44" s="362" t="s">
        <v>0</v>
      </c>
      <c r="I44" s="388">
        <v>1</v>
      </c>
      <c r="J44" s="89" t="s">
        <v>12</v>
      </c>
      <c r="K44" s="52"/>
      <c r="L44" s="495" t="str">
        <f>IF(OR(Copa2022!F52="",G44=""),"",
IF(AND(Copa2022!F52=G44,Copa2022!H52=I44),Regras!$J$25,IF(Y44=Regras!F66,Regras!$J$26,0)))</f>
        <v/>
      </c>
      <c r="M44" s="495"/>
      <c r="N44" s="318"/>
      <c r="O44" s="373"/>
      <c r="P44" s="377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 x14ac:dyDescent="0.25">
      <c r="A45" s="60" t="s">
        <v>326</v>
      </c>
      <c r="B45" s="48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59">
        <v>1</v>
      </c>
      <c r="H45" s="360" t="s">
        <v>0</v>
      </c>
      <c r="I45" s="368">
        <v>0</v>
      </c>
      <c r="J45" s="85" t="s">
        <v>5</v>
      </c>
      <c r="K45" s="52"/>
      <c r="L45" s="495" t="str">
        <f>IF(OR(Copa2022!F53="",G45=""),"",
IF(AND(Copa2022!F53=G45,Copa2022!H53=I45),Regras!$J$25,IF(Y45=Regras!F67,Regras!$J$26,0)))</f>
        <v/>
      </c>
      <c r="M45" s="495"/>
      <c r="N45" s="318"/>
      <c r="O45" s="502" t="s">
        <v>59</v>
      </c>
      <c r="P45" s="503"/>
      <c r="Q45" s="324" t="str">
        <f>IF(Copa2022!F58="","",IF(Copa2022!O54=Denise!P46,Regras!$J$27,0))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 x14ac:dyDescent="0.2">
      <c r="A46" s="60" t="s">
        <v>327</v>
      </c>
      <c r="B46" s="485"/>
      <c r="C46" s="171">
        <v>44889</v>
      </c>
      <c r="D46" s="194" t="s">
        <v>134</v>
      </c>
      <c r="E46" s="177" t="s">
        <v>163</v>
      </c>
      <c r="F46" s="78" t="s">
        <v>9</v>
      </c>
      <c r="G46" s="375">
        <v>1</v>
      </c>
      <c r="H46" s="358" t="s">
        <v>0</v>
      </c>
      <c r="I46" s="387">
        <v>0</v>
      </c>
      <c r="J46" s="81" t="s">
        <v>152</v>
      </c>
      <c r="K46" s="52"/>
      <c r="L46" s="495" t="str">
        <f>IF(OR(Copa2022!F54="",G46=""),"",
IF(AND(Copa2022!F54=G46,Copa2022!H54=I46),Regras!$J$25,IF(Y46=Regras!F68,Regras!$J$26,0)))</f>
        <v/>
      </c>
      <c r="M46" s="495"/>
      <c r="N46" s="318"/>
      <c r="O46" s="378">
        <v>1</v>
      </c>
      <c r="P46" s="377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 x14ac:dyDescent="0.25">
      <c r="A47" s="60" t="s">
        <v>328</v>
      </c>
      <c r="B47" s="485"/>
      <c r="C47" s="171">
        <v>44893</v>
      </c>
      <c r="D47" s="194" t="s">
        <v>135</v>
      </c>
      <c r="E47" s="177" t="s">
        <v>148</v>
      </c>
      <c r="F47" s="78" t="s">
        <v>5</v>
      </c>
      <c r="G47" s="375">
        <v>1</v>
      </c>
      <c r="H47" s="358" t="s">
        <v>0</v>
      </c>
      <c r="I47" s="387">
        <v>0</v>
      </c>
      <c r="J47" s="81" t="s">
        <v>152</v>
      </c>
      <c r="K47" s="52"/>
      <c r="L47" s="495" t="str">
        <f>IF(OR(Copa2022!F55="",G47=""),"",
IF(AND(Copa2022!F55=G47,Copa2022!H55=I47),Regras!$J$25,IF(Y47=Regras!F69,Regras!$J$26,0)))</f>
        <v/>
      </c>
      <c r="M47" s="495"/>
      <c r="N47" s="318"/>
      <c r="O47" s="381">
        <v>2</v>
      </c>
      <c r="P47" s="382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 x14ac:dyDescent="0.2">
      <c r="A48" s="60" t="s">
        <v>329</v>
      </c>
      <c r="B48" s="485"/>
      <c r="C48" s="171">
        <v>44893</v>
      </c>
      <c r="D48" s="194" t="s">
        <v>136</v>
      </c>
      <c r="E48" s="177" t="s">
        <v>146</v>
      </c>
      <c r="F48" s="78" t="s">
        <v>9</v>
      </c>
      <c r="G48" s="375">
        <v>2</v>
      </c>
      <c r="H48" s="358" t="s">
        <v>0</v>
      </c>
      <c r="I48" s="387">
        <v>0</v>
      </c>
      <c r="J48" s="81" t="s">
        <v>2</v>
      </c>
      <c r="K48" s="52"/>
      <c r="L48" s="495" t="str">
        <f>IF(OR(Copa2022!F56="",G48=""),"",
IF(AND(Copa2022!F56=G48,Copa2022!H56=I48),Regras!$J$25,IF(Y48=Regras!F70,Regras!$J$26,0)))</f>
        <v/>
      </c>
      <c r="M48" s="495"/>
      <c r="N48" s="318"/>
      <c r="O48" s="378">
        <v>3</v>
      </c>
      <c r="P48" s="377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 x14ac:dyDescent="0.25">
      <c r="A49" s="60" t="s">
        <v>330</v>
      </c>
      <c r="B49" s="485"/>
      <c r="C49" s="171">
        <v>44897</v>
      </c>
      <c r="D49" s="194" t="s">
        <v>132</v>
      </c>
      <c r="E49" s="177" t="s">
        <v>148</v>
      </c>
      <c r="F49" s="78" t="s">
        <v>5</v>
      </c>
      <c r="G49" s="375">
        <v>0</v>
      </c>
      <c r="H49" s="358" t="s">
        <v>0</v>
      </c>
      <c r="I49" s="387">
        <v>2</v>
      </c>
      <c r="J49" s="81" t="s">
        <v>9</v>
      </c>
      <c r="K49" s="52"/>
      <c r="L49" s="495" t="str">
        <f>IF(OR(Copa2022!F57="",G49=""),"",
IF(AND(Copa2022!F57=G49,Copa2022!H57=I49),Regras!$J$25,IF(Y49=Regras!F71,Regras!$J$26,0)))</f>
        <v/>
      </c>
      <c r="M49" s="495"/>
      <c r="N49" s="318"/>
      <c r="O49" s="379">
        <v>4</v>
      </c>
      <c r="P49" s="380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 x14ac:dyDescent="0.25">
      <c r="A50" s="477" t="s">
        <v>331</v>
      </c>
      <c r="B50" s="486"/>
      <c r="C50" s="173">
        <v>44897</v>
      </c>
      <c r="D50" s="195" t="s">
        <v>132</v>
      </c>
      <c r="E50" s="178" t="s">
        <v>164</v>
      </c>
      <c r="F50" s="19" t="s">
        <v>152</v>
      </c>
      <c r="G50" s="370">
        <v>0</v>
      </c>
      <c r="H50" s="371" t="s">
        <v>0</v>
      </c>
      <c r="I50" s="372">
        <v>1</v>
      </c>
      <c r="J50" s="130" t="s">
        <v>2</v>
      </c>
      <c r="K50" s="52"/>
      <c r="L50" s="495" t="str">
        <f>IF(OR(Copa2022!F58="",G50=""),"",
IF(AND(Copa2022!F58=G50,Copa2022!H58=I50),Regras!$J$25,IF(Y50=Regras!F72,Regras!$J$26,0)))</f>
        <v/>
      </c>
      <c r="M50" s="495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x14ac:dyDescent="0.2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 x14ac:dyDescent="0.25">
      <c r="B52" s="44"/>
      <c r="C52" s="506" t="s">
        <v>124</v>
      </c>
      <c r="D52" s="507"/>
      <c r="E52" s="507"/>
      <c r="F52" s="507"/>
      <c r="G52" s="507"/>
      <c r="H52" s="507"/>
      <c r="I52" s="507"/>
      <c r="J52" s="507"/>
      <c r="K52" s="507"/>
      <c r="L52" s="507"/>
      <c r="M52" s="508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 x14ac:dyDescent="0.25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4" t="s">
        <v>78</v>
      </c>
      <c r="M53" s="505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 x14ac:dyDescent="0.25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 x14ac:dyDescent="0.25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 x14ac:dyDescent="0.25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 x14ac:dyDescent="0.25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 x14ac:dyDescent="0.25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 x14ac:dyDescent="0.25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 x14ac:dyDescent="0.25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 x14ac:dyDescent="0.25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 x14ac:dyDescent="0.25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23" t="s">
        <v>78</v>
      </c>
      <c r="M62" s="524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 x14ac:dyDescent="0.25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 x14ac:dyDescent="0.25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 x14ac:dyDescent="0.25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 x14ac:dyDescent="0.25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 x14ac:dyDescent="0.25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20" t="s">
        <v>78</v>
      </c>
      <c r="M67" s="522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 x14ac:dyDescent="0.25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 x14ac:dyDescent="0.25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 x14ac:dyDescent="0.25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20" t="s">
        <v>78</v>
      </c>
      <c r="M70" s="522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 x14ac:dyDescent="0.25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 x14ac:dyDescent="0.25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20" t="s">
        <v>78</v>
      </c>
      <c r="M72" s="521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 x14ac:dyDescent="0.25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 x14ac:dyDescent="0.2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 x14ac:dyDescent="0.25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 x14ac:dyDescent="0.25">
      <c r="C76" s="2"/>
      <c r="D76" s="2"/>
      <c r="E76" s="125" t="s">
        <v>83</v>
      </c>
      <c r="F76" s="511">
        <f>'2ª Fase'!E40:I40</f>
        <v>0</v>
      </c>
      <c r="G76" s="511"/>
      <c r="H76" s="511"/>
      <c r="I76" s="511"/>
      <c r="J76" s="512"/>
      <c r="K76" s="50"/>
      <c r="L76" s="1"/>
      <c r="M76" s="1"/>
    </row>
    <row r="77" spans="1:25" ht="15" customHeight="1" x14ac:dyDescent="0.2">
      <c r="C77" s="2"/>
      <c r="D77" s="2"/>
      <c r="E77" s="126" t="s">
        <v>84</v>
      </c>
      <c r="F77" s="513">
        <f>'2ª Fase'!E41:I41</f>
        <v>0</v>
      </c>
      <c r="G77" s="513"/>
      <c r="H77" s="513"/>
      <c r="I77" s="513"/>
      <c r="J77" s="514"/>
      <c r="K77" s="50"/>
      <c r="L77" s="1"/>
      <c r="M77" s="1"/>
    </row>
    <row r="78" spans="1:25" ht="15" customHeight="1" x14ac:dyDescent="0.2">
      <c r="C78" s="2"/>
      <c r="D78" s="2"/>
      <c r="E78" s="127" t="s">
        <v>102</v>
      </c>
      <c r="F78" s="515">
        <f>'2ª Fase'!E42:I42</f>
        <v>0</v>
      </c>
      <c r="G78" s="515"/>
      <c r="H78" s="515"/>
      <c r="I78" s="515"/>
      <c r="J78" s="516"/>
      <c r="K78" s="50"/>
      <c r="L78" s="1"/>
      <c r="M78" s="1"/>
    </row>
    <row r="79" spans="1:25" ht="15" customHeight="1" thickBot="1" x14ac:dyDescent="0.25">
      <c r="C79" s="2"/>
      <c r="D79" s="2"/>
      <c r="E79" s="128" t="s">
        <v>103</v>
      </c>
      <c r="F79" s="517">
        <f>'2ª Fase'!E43:I43</f>
        <v>0</v>
      </c>
      <c r="G79" s="517"/>
      <c r="H79" s="517"/>
      <c r="I79" s="517"/>
      <c r="J79" s="518"/>
      <c r="K79" s="50"/>
      <c r="L79" s="1"/>
      <c r="M79" s="1"/>
    </row>
    <row r="80" spans="1:25" ht="15" hidden="1" customHeight="1" x14ac:dyDescent="0.2">
      <c r="C80" s="2"/>
      <c r="D80" s="2"/>
      <c r="E80" s="192"/>
      <c r="F80" s="509"/>
      <c r="G80" s="509"/>
      <c r="H80" s="509"/>
      <c r="I80" s="509"/>
      <c r="J80" s="510"/>
      <c r="K80" s="50"/>
      <c r="L80" s="129"/>
      <c r="M80" s="1"/>
    </row>
    <row r="81" spans="3:13" ht="15.75" x14ac:dyDescent="0.2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 x14ac:dyDescent="0.2"/>
    <row r="90" spans="3:13" ht="15.75" customHeight="1" x14ac:dyDescent="0.2"/>
    <row r="91" spans="3:13" ht="15.75" customHeight="1" x14ac:dyDescent="0.2"/>
    <row r="92" spans="3:13" ht="15.75" customHeight="1" x14ac:dyDescent="0.2"/>
    <row r="93" spans="3:13" ht="15.75" customHeight="1" x14ac:dyDescent="0.2"/>
    <row r="94" spans="3:13" ht="15.75" customHeight="1" x14ac:dyDescent="0.2"/>
    <row r="95" spans="3:13" ht="15.75" customHeight="1" x14ac:dyDescent="0.2"/>
    <row r="96" spans="3:13" ht="15.75" customHeight="1" x14ac:dyDescent="0.2"/>
    <row r="117" spans="2:25" s="9" customFormat="1" ht="15.75" hidden="1" x14ac:dyDescent="0.2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F76:J76"/>
    <mergeCell ref="F77:J77"/>
    <mergeCell ref="F78:J78"/>
    <mergeCell ref="F79:J79"/>
    <mergeCell ref="F80:J80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B39:B44"/>
    <mergeCell ref="L39:M39"/>
    <mergeCell ref="O39:P39"/>
    <mergeCell ref="L40:M40"/>
    <mergeCell ref="L41:M41"/>
    <mergeCell ref="L42:M42"/>
    <mergeCell ref="L43:M43"/>
    <mergeCell ref="L44:M44"/>
    <mergeCell ref="B33:B38"/>
    <mergeCell ref="L33:M33"/>
    <mergeCell ref="O33:P33"/>
    <mergeCell ref="L34:M34"/>
    <mergeCell ref="L35:M35"/>
    <mergeCell ref="L36:M36"/>
    <mergeCell ref="L37:M37"/>
    <mergeCell ref="L38:M38"/>
    <mergeCell ref="B27:B32"/>
    <mergeCell ref="L27:M27"/>
    <mergeCell ref="O27:P27"/>
    <mergeCell ref="L28:M28"/>
    <mergeCell ref="L29:M29"/>
    <mergeCell ref="L30:M30"/>
    <mergeCell ref="L31:M31"/>
    <mergeCell ref="L32:M32"/>
    <mergeCell ref="B21:B26"/>
    <mergeCell ref="L21:M21"/>
    <mergeCell ref="O21:P21"/>
    <mergeCell ref="L22:M22"/>
    <mergeCell ref="L23:M23"/>
    <mergeCell ref="L24:M24"/>
    <mergeCell ref="L25:M25"/>
    <mergeCell ref="L26:M26"/>
    <mergeCell ref="B15:B20"/>
    <mergeCell ref="L15:M15"/>
    <mergeCell ref="O15:P15"/>
    <mergeCell ref="L16:M16"/>
    <mergeCell ref="L17:M17"/>
    <mergeCell ref="L18:M18"/>
    <mergeCell ref="L19:M19"/>
    <mergeCell ref="L20:M20"/>
    <mergeCell ref="B9:B14"/>
    <mergeCell ref="L9:M9"/>
    <mergeCell ref="O9:P9"/>
    <mergeCell ref="L10:M10"/>
    <mergeCell ref="L11:M11"/>
    <mergeCell ref="L12:M12"/>
    <mergeCell ref="L13:M13"/>
    <mergeCell ref="L14:M14"/>
    <mergeCell ref="B3:B8"/>
    <mergeCell ref="L3:M3"/>
    <mergeCell ref="O3:P3"/>
    <mergeCell ref="L4:M4"/>
    <mergeCell ref="L5:M5"/>
    <mergeCell ref="L6:M6"/>
    <mergeCell ref="L7:M7"/>
    <mergeCell ref="L8:M8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158" priority="51" stopIfTrue="1" operator="equal">
      <formula>#REF!</formula>
    </cfRule>
  </conditionalFormatting>
  <conditionalFormatting sqref="M54:N54">
    <cfRule type="expression" dxfId="157" priority="50">
      <formula>$H$14="penaltis"</formula>
    </cfRule>
  </conditionalFormatting>
  <conditionalFormatting sqref="L55:N55">
    <cfRule type="expression" dxfId="156" priority="49">
      <formula>$H$15="penaltis"</formula>
    </cfRule>
  </conditionalFormatting>
  <conditionalFormatting sqref="L56:N56">
    <cfRule type="expression" dxfId="155" priority="48">
      <formula>$H$16="penaltis"</formula>
    </cfRule>
  </conditionalFormatting>
  <conditionalFormatting sqref="L57:N57">
    <cfRule type="expression" dxfId="154" priority="47">
      <formula>$H$17="penaltis"</formula>
    </cfRule>
  </conditionalFormatting>
  <conditionalFormatting sqref="L58:N58">
    <cfRule type="expression" dxfId="153" priority="46">
      <formula>$H$18="penaltis"</formula>
    </cfRule>
  </conditionalFormatting>
  <conditionalFormatting sqref="L59:N59">
    <cfRule type="expression" dxfId="152" priority="45">
      <formula>$H$19="penaltis"</formula>
    </cfRule>
  </conditionalFormatting>
  <conditionalFormatting sqref="L60:N60">
    <cfRule type="expression" dxfId="151" priority="44">
      <formula>$H$20="penaltis"</formula>
    </cfRule>
  </conditionalFormatting>
  <conditionalFormatting sqref="L61:N61">
    <cfRule type="expression" dxfId="150" priority="43">
      <formula>$H$21="penaltis"</formula>
    </cfRule>
  </conditionalFormatting>
  <conditionalFormatting sqref="N63">
    <cfRule type="expression" dxfId="149" priority="42">
      <formula>$H$23="penaltis"</formula>
    </cfRule>
  </conditionalFormatting>
  <conditionalFormatting sqref="N64">
    <cfRule type="expression" dxfId="148" priority="41" stopIfTrue="1">
      <formula>$H$24="penaltis"</formula>
    </cfRule>
  </conditionalFormatting>
  <conditionalFormatting sqref="N65">
    <cfRule type="expression" dxfId="147" priority="40" stopIfTrue="1">
      <formula>$H$25="penaltis"</formula>
    </cfRule>
  </conditionalFormatting>
  <conditionalFormatting sqref="N66">
    <cfRule type="expression" dxfId="146" priority="39" stopIfTrue="1">
      <formula>$H$26="penaltis"</formula>
    </cfRule>
  </conditionalFormatting>
  <conditionalFormatting sqref="N68">
    <cfRule type="expression" dxfId="145" priority="38" stopIfTrue="1">
      <formula>$H$28="penaltis"</formula>
    </cfRule>
  </conditionalFormatting>
  <conditionalFormatting sqref="N69">
    <cfRule type="expression" dxfId="144" priority="37" stopIfTrue="1">
      <formula>$H$29="penaltis"</formula>
    </cfRule>
  </conditionalFormatting>
  <conditionalFormatting sqref="N71">
    <cfRule type="expression" dxfId="143" priority="36" stopIfTrue="1">
      <formula>$H$31="penaltis"</formula>
    </cfRule>
  </conditionalFormatting>
  <conditionalFormatting sqref="N73">
    <cfRule type="expression" dxfId="142" priority="35" stopIfTrue="1">
      <formula>$H$33="penaltis"</formula>
    </cfRule>
  </conditionalFormatting>
  <conditionalFormatting sqref="L54:M54">
    <cfRule type="expression" dxfId="141" priority="34" stopIfTrue="1">
      <formula>$K$54="penaltis"</formula>
    </cfRule>
  </conditionalFormatting>
  <conditionalFormatting sqref="L55:M55">
    <cfRule type="expression" dxfId="140" priority="33" stopIfTrue="1">
      <formula>$K$55="penaltis"</formula>
    </cfRule>
  </conditionalFormatting>
  <conditionalFormatting sqref="L56:M56">
    <cfRule type="expression" dxfId="139" priority="32" stopIfTrue="1">
      <formula>$K$56="penaltis"</formula>
    </cfRule>
  </conditionalFormatting>
  <conditionalFormatting sqref="L57:M57">
    <cfRule type="expression" dxfId="138" priority="31" stopIfTrue="1">
      <formula>$K$57="penaltis"</formula>
    </cfRule>
  </conditionalFormatting>
  <conditionalFormatting sqref="L58:M58">
    <cfRule type="expression" dxfId="137" priority="30" stopIfTrue="1">
      <formula>$K$58="penaltis"</formula>
    </cfRule>
  </conditionalFormatting>
  <conditionalFormatting sqref="L59:M59">
    <cfRule type="expression" dxfId="136" priority="29" stopIfTrue="1">
      <formula>$K$59="penaltis"</formula>
    </cfRule>
  </conditionalFormatting>
  <conditionalFormatting sqref="L60:M60">
    <cfRule type="expression" dxfId="135" priority="28" stopIfTrue="1">
      <formula>$K$60="penaltis"</formula>
    </cfRule>
  </conditionalFormatting>
  <conditionalFormatting sqref="L61:M61">
    <cfRule type="expression" dxfId="134" priority="27" stopIfTrue="1">
      <formula>$K$61="penaltis"</formula>
    </cfRule>
  </conditionalFormatting>
  <conditionalFormatting sqref="L63:M63">
    <cfRule type="expression" dxfId="133" priority="26">
      <formula>$K$63="penaltis"</formula>
    </cfRule>
  </conditionalFormatting>
  <conditionalFormatting sqref="L64:M64">
    <cfRule type="expression" dxfId="132" priority="25">
      <formula>$K$64="penaltis"</formula>
    </cfRule>
  </conditionalFormatting>
  <conditionalFormatting sqref="L65:M65">
    <cfRule type="expression" dxfId="131" priority="24">
      <formula>$K$65="penaltis"</formula>
    </cfRule>
  </conditionalFormatting>
  <conditionalFormatting sqref="L66:M66">
    <cfRule type="expression" dxfId="130" priority="23">
      <formula>$K$66="penaltis"</formula>
    </cfRule>
  </conditionalFormatting>
  <conditionalFormatting sqref="L68:M68">
    <cfRule type="expression" dxfId="129" priority="22">
      <formula>$K$68="penaltis"</formula>
    </cfRule>
  </conditionalFormatting>
  <conditionalFormatting sqref="L69:M69">
    <cfRule type="expression" dxfId="128" priority="21">
      <formula>$K$69="penaltis"</formula>
    </cfRule>
  </conditionalFormatting>
  <conditionalFormatting sqref="L71:M71">
    <cfRule type="expression" dxfId="127" priority="20">
      <formula>$K$71="penaltis"</formula>
    </cfRule>
  </conditionalFormatting>
  <conditionalFormatting sqref="L73:M73">
    <cfRule type="expression" dxfId="126" priority="19">
      <formula>$K$73="penaltis"</formula>
    </cfRule>
  </conditionalFormatting>
  <conditionalFormatting sqref="Q4:X5">
    <cfRule type="expression" dxfId="125" priority="18">
      <formula>$R$8=12</formula>
    </cfRule>
  </conditionalFormatting>
  <conditionalFormatting sqref="Q10:X11">
    <cfRule type="expression" dxfId="124" priority="17">
      <formula>$R$14=12</formula>
    </cfRule>
  </conditionalFormatting>
  <conditionalFormatting sqref="Q16:X17">
    <cfRule type="expression" dxfId="123" priority="16">
      <formula>$R$20=12</formula>
    </cfRule>
  </conditionalFormatting>
  <conditionalFormatting sqref="Q22:X23">
    <cfRule type="expression" dxfId="122" priority="15">
      <formula>$R$26=12</formula>
    </cfRule>
  </conditionalFormatting>
  <conditionalFormatting sqref="Q28:X29">
    <cfRule type="expression" dxfId="121" priority="14">
      <formula>$R$32=12</formula>
    </cfRule>
  </conditionalFormatting>
  <conditionalFormatting sqref="Q34:X35">
    <cfRule type="expression" dxfId="120" priority="13">
      <formula>$R$38=12</formula>
    </cfRule>
  </conditionalFormatting>
  <conditionalFormatting sqref="Q40:X41">
    <cfRule type="expression" dxfId="119" priority="12">
      <formula>$R$44=12</formula>
    </cfRule>
  </conditionalFormatting>
  <conditionalFormatting sqref="Q46:X47">
    <cfRule type="expression" dxfId="118" priority="11">
      <formula>$R$50=12</formula>
    </cfRule>
  </conditionalFormatting>
  <conditionalFormatting sqref="F62:J73 B45 B9 B15 B21 B27 B33 B3 F3:F50 J3:J50">
    <cfRule type="cellIs" dxfId="117" priority="52" stopIfTrue="1" operator="equal">
      <formula>#REF!</formula>
    </cfRule>
  </conditionalFormatting>
  <conditionalFormatting sqref="B39">
    <cfRule type="cellIs" dxfId="116" priority="10" stopIfTrue="1" operator="equal">
      <formula>#REF!</formula>
    </cfRule>
  </conditionalFormatting>
  <conditionalFormatting sqref="F54:J61">
    <cfRule type="cellIs" dxfId="115" priority="9" stopIfTrue="1" operator="equal">
      <formula>$Z$7</formula>
    </cfRule>
  </conditionalFormatting>
  <conditionalFormatting sqref="O4:P5">
    <cfRule type="expression" dxfId="114" priority="8">
      <formula>$R$16=12</formula>
    </cfRule>
  </conditionalFormatting>
  <conditionalFormatting sqref="O10:P11">
    <cfRule type="expression" dxfId="113" priority="7">
      <formula>$R$22=12</formula>
    </cfRule>
  </conditionalFormatting>
  <conditionalFormatting sqref="O16:P17">
    <cfRule type="expression" dxfId="112" priority="6">
      <formula>$R$28=12</formula>
    </cfRule>
  </conditionalFormatting>
  <conditionalFormatting sqref="O22:P23">
    <cfRule type="expression" dxfId="111" priority="5">
      <formula>$R$34=12</formula>
    </cfRule>
  </conditionalFormatting>
  <conditionalFormatting sqref="O28:P29">
    <cfRule type="expression" dxfId="110" priority="4">
      <formula>$R$40=12</formula>
    </cfRule>
  </conditionalFormatting>
  <conditionalFormatting sqref="O34:P35">
    <cfRule type="expression" dxfId="109" priority="3">
      <formula>$R$46=12</formula>
    </cfRule>
  </conditionalFormatting>
  <conditionalFormatting sqref="O40:P41">
    <cfRule type="expression" dxfId="108" priority="2">
      <formula>$R$52=12</formula>
    </cfRule>
  </conditionalFormatting>
  <conditionalFormatting sqref="O46:P47">
    <cfRule type="expression" dxfId="107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 xr:uid="{00000000-0002-0000-1200-000000000000}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dimension ref="A1:HW117"/>
  <sheetViews>
    <sheetView workbookViewId="0">
      <selection activeCell="E35" sqref="E35"/>
    </sheetView>
  </sheetViews>
  <sheetFormatPr defaultColWidth="0" defaultRowHeight="0" customHeight="1" zeroHeight="1" x14ac:dyDescent="0.2"/>
  <cols>
    <col min="1" max="1" width="6.3203125" customWidth="1"/>
    <col min="2" max="2" width="6.05078125" style="5" bestFit="1" customWidth="1"/>
    <col min="3" max="3" width="9.81640625" style="10" bestFit="1" customWidth="1"/>
    <col min="4" max="4" width="5.24609375" style="10" bestFit="1" customWidth="1"/>
    <col min="5" max="5" width="17.75390625" style="10" bestFit="1" customWidth="1"/>
    <col min="6" max="6" width="25.69140625" style="11" customWidth="1"/>
    <col min="7" max="7" width="2.6875" style="42" customWidth="1"/>
    <col min="8" max="8" width="2.6875" customWidth="1"/>
    <col min="9" max="9" width="2.6875" style="42" customWidth="1"/>
    <col min="10" max="10" width="25.69140625" style="12" customWidth="1"/>
    <col min="11" max="11" width="13.31640625" style="51" hidden="1" customWidth="1"/>
    <col min="12" max="13" width="3.2265625" customWidth="1"/>
    <col min="14" max="14" width="2.82421875" style="1" customWidth="1"/>
    <col min="15" max="15" width="2.015625" style="109" bestFit="1" customWidth="1"/>
    <col min="16" max="16" width="26.09765625" style="113" customWidth="1"/>
    <col min="17" max="17" width="4.70703125" style="322" customWidth="1"/>
    <col min="18" max="18" width="3.765625" style="322" customWidth="1"/>
    <col min="19" max="19" width="1.8828125" style="322" customWidth="1"/>
    <col min="20" max="20" width="2.28515625" style="322" customWidth="1"/>
    <col min="21" max="21" width="3.765625" style="322" customWidth="1"/>
    <col min="22" max="22" width="2.015625" style="322" customWidth="1"/>
    <col min="23" max="24" width="3.765625" style="322" hidden="1" customWidth="1"/>
    <col min="25" max="25" width="12.9140625" style="1" customWidth="1"/>
    <col min="26" max="36" width="9.14453125" hidden="1" customWidth="1"/>
    <col min="37" max="37" width="8.47265625" hidden="1" customWidth="1"/>
    <col min="38" max="38" width="8.7421875" hidden="1" customWidth="1"/>
    <col min="39" max="39" width="10.0859375" hidden="1" customWidth="1"/>
    <col min="40" max="230" width="9.14453125" hidden="1" customWidth="1"/>
    <col min="231" max="231" width="7.26171875" hidden="1" customWidth="1"/>
    <col min="232" max="16384" width="9.14453125" hidden="1"/>
  </cols>
  <sheetData>
    <row r="1" spans="1:25" s="58" customFormat="1" ht="15" customHeight="1" x14ac:dyDescent="0.2">
      <c r="B1" s="496" t="s">
        <v>94</v>
      </c>
      <c r="C1" s="498" t="s">
        <v>95</v>
      </c>
      <c r="D1" s="498" t="s">
        <v>74</v>
      </c>
      <c r="E1" s="500" t="s">
        <v>75</v>
      </c>
      <c r="F1" s="487" t="s">
        <v>96</v>
      </c>
      <c r="G1" s="488"/>
      <c r="H1" s="488"/>
      <c r="I1" s="488"/>
      <c r="J1" s="489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 x14ac:dyDescent="0.25">
      <c r="B2" s="497"/>
      <c r="C2" s="499"/>
      <c r="D2" s="499"/>
      <c r="E2" s="501"/>
      <c r="F2" s="490"/>
      <c r="G2" s="491"/>
      <c r="H2" s="491"/>
      <c r="I2" s="491"/>
      <c r="J2" s="492"/>
      <c r="K2" s="51"/>
      <c r="L2" s="493"/>
      <c r="M2" s="494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 x14ac:dyDescent="0.25">
      <c r="A3" s="60" t="s">
        <v>284</v>
      </c>
      <c r="B3" s="48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91">
        <v>0</v>
      </c>
      <c r="H3" s="392" t="s">
        <v>0</v>
      </c>
      <c r="I3" s="401">
        <v>2</v>
      </c>
      <c r="J3" s="77" t="s">
        <v>142</v>
      </c>
      <c r="K3" s="52"/>
      <c r="L3" s="495">
        <f>IF(OR(Copa2022!F11="",G3=""),"",
IF(AND(Copa2022!F11=G3,Copa2022!H11=I3),Regras!$J$25,IF(Y3=Regras!F25,Regras!$J$26,0)))</f>
        <v>10</v>
      </c>
      <c r="M3" s="495"/>
      <c r="N3" s="318"/>
      <c r="O3" s="502" t="s">
        <v>220</v>
      </c>
      <c r="P3" s="526"/>
      <c r="Q3" s="324" t="str">
        <f>IF(Copa2022!F16="","",IF(Copa2022!O12=Silvia!P4,Regras!$J$27,0))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 x14ac:dyDescent="0.2">
      <c r="A4" s="60" t="s">
        <v>285</v>
      </c>
      <c r="B4" s="485"/>
      <c r="C4" s="171">
        <v>44886</v>
      </c>
      <c r="D4" s="194" t="s">
        <v>134</v>
      </c>
      <c r="E4" s="172" t="s">
        <v>157</v>
      </c>
      <c r="F4" s="78" t="s">
        <v>131</v>
      </c>
      <c r="G4" s="393">
        <v>0</v>
      </c>
      <c r="H4" s="394" t="s">
        <v>0</v>
      </c>
      <c r="I4" s="402">
        <v>2</v>
      </c>
      <c r="J4" s="81" t="s">
        <v>140</v>
      </c>
      <c r="K4" s="52"/>
      <c r="L4" s="495">
        <f>IF(OR(Copa2022!F12="",G4=""),"",
IF(AND(Copa2022!F12=G4,Copa2022!H12=I4),Regras!$J$25,IF(Y4=Regras!F26,Regras!$J$26,0)))</f>
        <v>10</v>
      </c>
      <c r="M4" s="495"/>
      <c r="N4" s="318"/>
      <c r="O4" s="411">
        <v>1</v>
      </c>
      <c r="P4" s="410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 x14ac:dyDescent="0.25">
      <c r="A5" s="60" t="s">
        <v>286</v>
      </c>
      <c r="B5" s="485"/>
      <c r="C5" s="171">
        <v>44890</v>
      </c>
      <c r="D5" s="194" t="s">
        <v>135</v>
      </c>
      <c r="E5" s="172" t="s">
        <v>157</v>
      </c>
      <c r="F5" s="78" t="s">
        <v>141</v>
      </c>
      <c r="G5" s="393">
        <v>1</v>
      </c>
      <c r="H5" s="394" t="s">
        <v>0</v>
      </c>
      <c r="I5" s="402">
        <v>1</v>
      </c>
      <c r="J5" s="81" t="s">
        <v>131</v>
      </c>
      <c r="K5" s="52"/>
      <c r="L5" s="495" t="str">
        <f>IF(OR(Copa2022!F13="",G5=""),"",
IF(AND(Copa2022!F13=G5,Copa2022!H13=I5),Regras!$J$25,IF(Y5=Regras!F27,Regras!$J$26,0)))</f>
        <v/>
      </c>
      <c r="M5" s="495"/>
      <c r="N5" s="318"/>
      <c r="O5" s="414">
        <v>2</v>
      </c>
      <c r="P5" s="415" t="s">
        <v>142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 x14ac:dyDescent="0.2">
      <c r="A6" s="60" t="s">
        <v>287</v>
      </c>
      <c r="B6" s="485"/>
      <c r="C6" s="171">
        <v>44890</v>
      </c>
      <c r="D6" s="194" t="s">
        <v>134</v>
      </c>
      <c r="E6" s="172" t="s">
        <v>143</v>
      </c>
      <c r="F6" s="78" t="s">
        <v>140</v>
      </c>
      <c r="G6" s="393">
        <v>2</v>
      </c>
      <c r="H6" s="394" t="s">
        <v>0</v>
      </c>
      <c r="I6" s="402">
        <v>1</v>
      </c>
      <c r="J6" s="81" t="s">
        <v>142</v>
      </c>
      <c r="K6" s="52"/>
      <c r="L6" s="495" t="str">
        <f>IF(OR(Copa2022!F14="",G6=""),"",
IF(AND(Copa2022!F14=G6,Copa2022!H14=I6),Regras!$J$25,IF(Y6=Regras!F28,Regras!$J$26,0)))</f>
        <v/>
      </c>
      <c r="M6" s="495"/>
      <c r="N6" s="318"/>
      <c r="O6" s="411">
        <v>3</v>
      </c>
      <c r="P6" s="410" t="s">
        <v>131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 x14ac:dyDescent="0.25">
      <c r="A7" s="60" t="s">
        <v>288</v>
      </c>
      <c r="B7" s="485"/>
      <c r="C7" s="171">
        <v>44894</v>
      </c>
      <c r="D7" s="194" t="s">
        <v>132</v>
      </c>
      <c r="E7" s="172" t="s">
        <v>161</v>
      </c>
      <c r="F7" s="78" t="s">
        <v>140</v>
      </c>
      <c r="G7" s="393">
        <v>3</v>
      </c>
      <c r="H7" s="394" t="s">
        <v>0</v>
      </c>
      <c r="I7" s="402">
        <v>0</v>
      </c>
      <c r="J7" s="81" t="s">
        <v>141</v>
      </c>
      <c r="K7" s="52"/>
      <c r="L7" s="495" t="str">
        <f>IF(OR(Copa2022!F15="",G7=""),"",
IF(AND(Copa2022!F15=G7,Copa2022!H15=I7),Regras!$J$25,IF(Y7=Regras!F29,Regras!$J$26,0)))</f>
        <v/>
      </c>
      <c r="M7" s="495"/>
      <c r="N7" s="318"/>
      <c r="O7" s="412">
        <v>4</v>
      </c>
      <c r="P7" s="413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 x14ac:dyDescent="0.25">
      <c r="A8" s="60" t="s">
        <v>289</v>
      </c>
      <c r="B8" s="486"/>
      <c r="C8" s="173">
        <v>44590</v>
      </c>
      <c r="D8" s="195" t="s">
        <v>132</v>
      </c>
      <c r="E8" s="174" t="s">
        <v>143</v>
      </c>
      <c r="F8" s="86" t="s">
        <v>142</v>
      </c>
      <c r="G8" s="397">
        <v>1</v>
      </c>
      <c r="H8" s="398" t="s">
        <v>0</v>
      </c>
      <c r="I8" s="403">
        <v>1</v>
      </c>
      <c r="J8" s="89" t="s">
        <v>131</v>
      </c>
      <c r="K8" s="52"/>
      <c r="L8" s="495" t="str">
        <f>IF(OR(Copa2022!F16="",G8=""),"",
IF(AND(Copa2022!F16=G8,Copa2022!H16=I8),Regras!$J$25,IF(Y8=Regras!F30,Regras!$J$26,0)))</f>
        <v/>
      </c>
      <c r="M8" s="495"/>
      <c r="N8" s="318"/>
      <c r="O8" s="418"/>
      <c r="P8" s="41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 x14ac:dyDescent="0.25">
      <c r="A9" s="60" t="s">
        <v>290</v>
      </c>
      <c r="B9" s="48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95">
        <v>2</v>
      </c>
      <c r="H9" s="396" t="s">
        <v>0</v>
      </c>
      <c r="I9" s="404">
        <v>0</v>
      </c>
      <c r="J9" s="85" t="s">
        <v>123</v>
      </c>
      <c r="K9" s="52"/>
      <c r="L9" s="495">
        <f>IF(OR(Copa2022!F17="",G9=""),"",
IF(AND(Copa2022!F17=G9,Copa2022!H17=I9),Regras!$J$25,IF(Y9=Regras!F31,Regras!$J$26,0)))</f>
        <v>5</v>
      </c>
      <c r="M9" s="495"/>
      <c r="N9" s="318"/>
      <c r="O9" s="502" t="s">
        <v>48</v>
      </c>
      <c r="P9" s="503"/>
      <c r="Q9" s="324" t="str">
        <f>IF(Copa2022!F22="","",IF(Copa2022!O18=Silvia!P10,Regras!$J$27,0))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 x14ac:dyDescent="0.2">
      <c r="A10" s="60" t="s">
        <v>291</v>
      </c>
      <c r="B10" s="485"/>
      <c r="C10" s="171">
        <v>44886</v>
      </c>
      <c r="D10" s="194" t="s">
        <v>136</v>
      </c>
      <c r="E10" s="177" t="s">
        <v>162</v>
      </c>
      <c r="F10" s="78" t="s">
        <v>145</v>
      </c>
      <c r="G10" s="393">
        <v>0</v>
      </c>
      <c r="H10" s="394" t="s">
        <v>0</v>
      </c>
      <c r="I10" s="402">
        <v>1</v>
      </c>
      <c r="J10" s="81" t="s">
        <v>158</v>
      </c>
      <c r="K10" s="52"/>
      <c r="L10" s="495">
        <f>IF(OR(Copa2022!F18="",G10=""),"",
IF(AND(Copa2022!F18=G10,Copa2022!H18=I10),Regras!$J$25,IF(Y10=Regras!F32,Regras!$J$26,0)))</f>
        <v>0</v>
      </c>
      <c r="M10" s="495"/>
      <c r="N10" s="318"/>
      <c r="O10" s="411">
        <v>1</v>
      </c>
      <c r="P10" s="410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País de Gales</v>
      </c>
    </row>
    <row r="11" spans="1:25" s="60" customFormat="1" ht="35.1" customHeight="1" thickBot="1" x14ac:dyDescent="0.25">
      <c r="A11" s="60" t="s">
        <v>292</v>
      </c>
      <c r="B11" s="485"/>
      <c r="C11" s="171">
        <v>44890</v>
      </c>
      <c r="D11" s="194" t="s">
        <v>133</v>
      </c>
      <c r="E11" s="177" t="s">
        <v>162</v>
      </c>
      <c r="F11" s="78" t="s">
        <v>158</v>
      </c>
      <c r="G11" s="393">
        <v>2</v>
      </c>
      <c r="H11" s="394" t="s">
        <v>0</v>
      </c>
      <c r="I11" s="402">
        <v>0</v>
      </c>
      <c r="J11" s="81" t="s">
        <v>123</v>
      </c>
      <c r="K11" s="52"/>
      <c r="L11" s="495" t="str">
        <f>IF(OR(Copa2022!F19="",G11=""),"",
IF(AND(Copa2022!F19=G11,Copa2022!H19=I11),Regras!$J$25,IF(Y11=Regras!F33,Regras!$J$26,0)))</f>
        <v/>
      </c>
      <c r="M11" s="495"/>
      <c r="N11" s="318"/>
      <c r="O11" s="414">
        <v>2</v>
      </c>
      <c r="P11" s="415" t="s">
        <v>158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 x14ac:dyDescent="0.2">
      <c r="A12" s="60" t="s">
        <v>293</v>
      </c>
      <c r="B12" s="485"/>
      <c r="C12" s="171">
        <v>44890</v>
      </c>
      <c r="D12" s="194" t="s">
        <v>136</v>
      </c>
      <c r="E12" s="177" t="s">
        <v>161</v>
      </c>
      <c r="F12" s="78" t="s">
        <v>6</v>
      </c>
      <c r="G12" s="393">
        <v>2</v>
      </c>
      <c r="H12" s="394" t="s">
        <v>0</v>
      </c>
      <c r="I12" s="402">
        <v>0</v>
      </c>
      <c r="J12" s="81" t="s">
        <v>145</v>
      </c>
      <c r="K12" s="52"/>
      <c r="L12" s="495" t="str">
        <f>IF(OR(Copa2022!F20="",G12=""),"",
IF(AND(Copa2022!F20=G12,Copa2022!H20=I12),Regras!$J$25,IF(Y12=Regras!F34,Regras!$J$26,0)))</f>
        <v/>
      </c>
      <c r="M12" s="495"/>
      <c r="N12" s="318"/>
      <c r="O12" s="411">
        <v>3</v>
      </c>
      <c r="P12" s="410" t="s">
        <v>145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 x14ac:dyDescent="0.25">
      <c r="A13" s="60" t="s">
        <v>294</v>
      </c>
      <c r="B13" s="485"/>
      <c r="C13" s="171">
        <v>44894</v>
      </c>
      <c r="D13" s="194" t="s">
        <v>136</v>
      </c>
      <c r="E13" s="177" t="s">
        <v>162</v>
      </c>
      <c r="F13" s="78" t="s">
        <v>158</v>
      </c>
      <c r="G13" s="393">
        <v>1</v>
      </c>
      <c r="H13" s="394" t="s">
        <v>0</v>
      </c>
      <c r="I13" s="402">
        <v>2</v>
      </c>
      <c r="J13" s="81" t="s">
        <v>6</v>
      </c>
      <c r="K13" s="52"/>
      <c r="L13" s="495" t="str">
        <f>IF(OR(Copa2022!F21="",G13=""),"",
IF(AND(Copa2022!F21=G13,Copa2022!H21=I13),Regras!$J$25,IF(Y13=Regras!F35,Regras!$J$26,0)))</f>
        <v/>
      </c>
      <c r="M13" s="495"/>
      <c r="N13" s="318"/>
      <c r="O13" s="412">
        <v>4</v>
      </c>
      <c r="P13" s="413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 x14ac:dyDescent="0.25">
      <c r="A14" s="60" t="s">
        <v>295</v>
      </c>
      <c r="B14" s="486"/>
      <c r="C14" s="173">
        <v>44894</v>
      </c>
      <c r="D14" s="195" t="s">
        <v>136</v>
      </c>
      <c r="E14" s="178" t="s">
        <v>157</v>
      </c>
      <c r="F14" s="90" t="s">
        <v>123</v>
      </c>
      <c r="G14" s="399">
        <v>1</v>
      </c>
      <c r="H14" s="400" t="s">
        <v>0</v>
      </c>
      <c r="I14" s="405">
        <v>1</v>
      </c>
      <c r="J14" s="93" t="s">
        <v>145</v>
      </c>
      <c r="K14" s="52"/>
      <c r="L14" s="495" t="str">
        <f>IF(OR(Copa2022!F22="",G14=""),"",
IF(AND(Copa2022!F22=G14,Copa2022!H22=I14),Regras!$J$25,IF(Y14=Regras!F36,Regras!$J$26,0)))</f>
        <v/>
      </c>
      <c r="M14" s="495"/>
      <c r="N14" s="318"/>
      <c r="O14" s="409"/>
      <c r="P14" s="410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 x14ac:dyDescent="0.25">
      <c r="A15" s="60" t="s">
        <v>296</v>
      </c>
      <c r="B15" s="48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91">
        <v>3</v>
      </c>
      <c r="H15" s="392" t="s">
        <v>0</v>
      </c>
      <c r="I15" s="401">
        <v>0</v>
      </c>
      <c r="J15" s="77" t="s">
        <v>125</v>
      </c>
      <c r="K15" s="52"/>
      <c r="L15" s="495">
        <f>IF(OR(Copa2022!F23="",G15=""),"",
IF(AND(Copa2022!F23=G15,Copa2022!H23=I15),Regras!$J$25,IF(Y15=Regras!F37,Regras!$J$26,0)))</f>
        <v>0</v>
      </c>
      <c r="M15" s="495"/>
      <c r="N15" s="318"/>
      <c r="O15" s="502" t="s">
        <v>50</v>
      </c>
      <c r="P15" s="503"/>
      <c r="Q15" s="324" t="str">
        <f>IF(Copa2022!F28="","",IF(Copa2022!O24=Silvia!P16,Regras!$J$27,0))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 x14ac:dyDescent="0.2">
      <c r="A16" s="60" t="s">
        <v>297</v>
      </c>
      <c r="B16" s="485"/>
      <c r="C16" s="171">
        <v>44887</v>
      </c>
      <c r="D16" s="194" t="s">
        <v>134</v>
      </c>
      <c r="E16" s="172" t="s">
        <v>163</v>
      </c>
      <c r="F16" s="78" t="s">
        <v>1</v>
      </c>
      <c r="G16" s="393">
        <v>0</v>
      </c>
      <c r="H16" s="394" t="s">
        <v>0</v>
      </c>
      <c r="I16" s="402">
        <v>1</v>
      </c>
      <c r="J16" s="81" t="s">
        <v>130</v>
      </c>
      <c r="K16" s="52"/>
      <c r="L16" s="495">
        <f>IF(OR(Copa2022!F24="",G16=""),"",
IF(AND(Copa2022!F24=G16,Copa2022!H24=I16),Regras!$J$25,IF(Y16=Regras!F38,Regras!$J$26,0)))</f>
        <v>0</v>
      </c>
      <c r="M16" s="495"/>
      <c r="N16" s="318"/>
      <c r="O16" s="411">
        <v>1</v>
      </c>
      <c r="P16" s="410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Polônia</v>
      </c>
    </row>
    <row r="17" spans="1:25" s="60" customFormat="1" ht="35.1" customHeight="1" thickBot="1" x14ac:dyDescent="0.25">
      <c r="A17" s="60" t="s">
        <v>298</v>
      </c>
      <c r="B17" s="485"/>
      <c r="C17" s="171">
        <v>44891</v>
      </c>
      <c r="D17" s="194" t="s">
        <v>135</v>
      </c>
      <c r="E17" s="172" t="s">
        <v>148</v>
      </c>
      <c r="F17" s="78" t="s">
        <v>130</v>
      </c>
      <c r="G17" s="393">
        <v>2</v>
      </c>
      <c r="H17" s="394" t="s">
        <v>0</v>
      </c>
      <c r="I17" s="402">
        <v>0</v>
      </c>
      <c r="J17" s="81" t="s">
        <v>125</v>
      </c>
      <c r="K17" s="52"/>
      <c r="L17" s="495" t="str">
        <f>IF(OR(Copa2022!F25="",G17=""),"",
IF(AND(Copa2022!F25=G17,Copa2022!H25=I17),Regras!$J$25,IF(Y17=Regras!F39,Regras!$J$26,0)))</f>
        <v/>
      </c>
      <c r="M17" s="495"/>
      <c r="N17" s="318"/>
      <c r="O17" s="414">
        <v>2</v>
      </c>
      <c r="P17" s="415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 x14ac:dyDescent="0.2">
      <c r="A18" s="60" t="s">
        <v>299</v>
      </c>
      <c r="B18" s="485"/>
      <c r="C18" s="171">
        <v>44891</v>
      </c>
      <c r="D18" s="194" t="s">
        <v>136</v>
      </c>
      <c r="E18" s="172" t="s">
        <v>146</v>
      </c>
      <c r="F18" s="78" t="s">
        <v>4</v>
      </c>
      <c r="G18" s="393">
        <v>2</v>
      </c>
      <c r="H18" s="394" t="s">
        <v>0</v>
      </c>
      <c r="I18" s="402">
        <v>0</v>
      </c>
      <c r="J18" s="81" t="s">
        <v>1</v>
      </c>
      <c r="K18" s="52"/>
      <c r="L18" s="495" t="str">
        <f>IF(OR(Copa2022!F26="",G18=""),"",
IF(AND(Copa2022!F26=G18,Copa2022!H26=I18),Regras!$J$25,IF(Y18=Regras!F40,Regras!$J$26,0)))</f>
        <v/>
      </c>
      <c r="M18" s="495"/>
      <c r="N18" s="318"/>
      <c r="O18" s="411">
        <v>3</v>
      </c>
      <c r="P18" s="410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 x14ac:dyDescent="0.25">
      <c r="A19" s="60" t="s">
        <v>300</v>
      </c>
      <c r="B19" s="485"/>
      <c r="C19" s="171">
        <v>44895</v>
      </c>
      <c r="D19" s="194" t="s">
        <v>136</v>
      </c>
      <c r="E19" s="172" t="s">
        <v>163</v>
      </c>
      <c r="F19" s="78" t="s">
        <v>130</v>
      </c>
      <c r="G19" s="393">
        <v>0</v>
      </c>
      <c r="H19" s="394" t="s">
        <v>0</v>
      </c>
      <c r="I19" s="402">
        <v>2</v>
      </c>
      <c r="J19" s="81" t="s">
        <v>4</v>
      </c>
      <c r="K19" s="52"/>
      <c r="L19" s="495" t="str">
        <f>IF(OR(Copa2022!F27="",G19=""),"",
IF(AND(Copa2022!F27=G19,Copa2022!H27=I19),Regras!$J$25,IF(Y19=Regras!F41,Regras!$J$26,0)))</f>
        <v/>
      </c>
      <c r="M19" s="495"/>
      <c r="N19" s="318"/>
      <c r="O19" s="412">
        <v>4</v>
      </c>
      <c r="P19" s="413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 x14ac:dyDescent="0.25">
      <c r="A20" s="60" t="s">
        <v>301</v>
      </c>
      <c r="B20" s="486"/>
      <c r="C20" s="173">
        <v>44895</v>
      </c>
      <c r="D20" s="195" t="s">
        <v>136</v>
      </c>
      <c r="E20" s="174" t="s">
        <v>146</v>
      </c>
      <c r="F20" s="86" t="s">
        <v>125</v>
      </c>
      <c r="G20" s="397">
        <v>1</v>
      </c>
      <c r="H20" s="398" t="s">
        <v>0</v>
      </c>
      <c r="I20" s="403">
        <v>2</v>
      </c>
      <c r="J20" s="89" t="s">
        <v>1</v>
      </c>
      <c r="K20" s="52"/>
      <c r="L20" s="495" t="str">
        <f>IF(OR(Copa2022!F28="",G20=""),"",
IF(AND(Copa2022!F28=G20,Copa2022!H28=I20),Regras!$J$25,IF(Y20=Regras!F42,Regras!$J$26,0)))</f>
        <v/>
      </c>
      <c r="M20" s="495"/>
      <c r="N20" s="318"/>
      <c r="O20" s="409"/>
      <c r="P20" s="410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 x14ac:dyDescent="0.25">
      <c r="A21" s="60" t="s">
        <v>302</v>
      </c>
      <c r="B21" s="48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95">
        <v>2</v>
      </c>
      <c r="H21" s="396" t="s">
        <v>0</v>
      </c>
      <c r="I21" s="404">
        <v>0</v>
      </c>
      <c r="J21" s="85" t="s">
        <v>129</v>
      </c>
      <c r="K21" s="52"/>
      <c r="L21" s="495">
        <f>IF(OR(Copa2022!F29="",G21=""),"",
IF(AND(Copa2022!F29=G21,Copa2022!H29=I21),Regras!$J$25,IF(Y21=Regras!F43,Regras!$J$26,0)))</f>
        <v>0</v>
      </c>
      <c r="M21" s="495"/>
      <c r="N21" s="318"/>
      <c r="O21" s="502" t="s">
        <v>51</v>
      </c>
      <c r="P21" s="503"/>
      <c r="Q21" s="324" t="str">
        <f>IF(Copa2022!F34="","",IF(Copa2022!O30=Silvia!P22,Regras!$J$27,0))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 x14ac:dyDescent="0.2">
      <c r="A22" s="60" t="s">
        <v>303</v>
      </c>
      <c r="B22" s="485"/>
      <c r="C22" s="171">
        <v>44887</v>
      </c>
      <c r="D22" s="194" t="s">
        <v>136</v>
      </c>
      <c r="E22" s="177" t="s">
        <v>164</v>
      </c>
      <c r="F22" s="78" t="s">
        <v>3</v>
      </c>
      <c r="G22" s="393">
        <v>2</v>
      </c>
      <c r="H22" s="394" t="s">
        <v>0</v>
      </c>
      <c r="I22" s="402">
        <v>0</v>
      </c>
      <c r="J22" s="81" t="s">
        <v>159</v>
      </c>
      <c r="K22" s="52"/>
      <c r="L22" s="495">
        <f>IF(OR(Copa2022!F30="",G22=""),"",
IF(AND(Copa2022!F30=G22,Copa2022!H30=I22),Regras!$J$25,IF(Y22=Regras!F44,Regras!$J$26,0)))</f>
        <v>5</v>
      </c>
      <c r="M22" s="495"/>
      <c r="N22" s="318"/>
      <c r="O22" s="411">
        <v>1</v>
      </c>
      <c r="P22" s="410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 x14ac:dyDescent="0.25">
      <c r="A23" s="60" t="s">
        <v>304</v>
      </c>
      <c r="B23" s="485"/>
      <c r="C23" s="171">
        <v>44891</v>
      </c>
      <c r="D23" s="194" t="s">
        <v>133</v>
      </c>
      <c r="E23" s="177" t="s">
        <v>164</v>
      </c>
      <c r="F23" s="78" t="s">
        <v>129</v>
      </c>
      <c r="G23" s="393">
        <v>1</v>
      </c>
      <c r="H23" s="394" t="s">
        <v>0</v>
      </c>
      <c r="I23" s="402">
        <v>1</v>
      </c>
      <c r="J23" s="81" t="s">
        <v>159</v>
      </c>
      <c r="K23" s="52"/>
      <c r="L23" s="495" t="str">
        <f>IF(OR(Copa2022!F31="",G23=""),"",
IF(AND(Copa2022!F31=G23,Copa2022!H31=I23),Regras!$J$25,IF(Y23=Regras!F45,Regras!$J$26,0)))</f>
        <v/>
      </c>
      <c r="M23" s="495"/>
      <c r="N23" s="318"/>
      <c r="O23" s="414">
        <v>2</v>
      </c>
      <c r="P23" s="415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 x14ac:dyDescent="0.2">
      <c r="A24" s="60" t="s">
        <v>305</v>
      </c>
      <c r="B24" s="485"/>
      <c r="C24" s="171">
        <v>44891</v>
      </c>
      <c r="D24" s="194" t="s">
        <v>134</v>
      </c>
      <c r="E24" s="177" t="s">
        <v>163</v>
      </c>
      <c r="F24" s="78" t="s">
        <v>3</v>
      </c>
      <c r="G24" s="393">
        <v>2</v>
      </c>
      <c r="H24" s="394" t="s">
        <v>0</v>
      </c>
      <c r="I24" s="402">
        <v>1</v>
      </c>
      <c r="J24" s="81" t="s">
        <v>127</v>
      </c>
      <c r="K24" s="52"/>
      <c r="L24" s="495" t="str">
        <f>IF(OR(Copa2022!F32="",G24=""),"",
IF(AND(Copa2022!F32=G24,Copa2022!H32=I24),Regras!$J$25,IF(Y24=Regras!F46,Regras!$J$26,0)))</f>
        <v/>
      </c>
      <c r="M24" s="495"/>
      <c r="N24" s="318"/>
      <c r="O24" s="411">
        <v>3</v>
      </c>
      <c r="P24" s="410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 x14ac:dyDescent="0.25">
      <c r="A25" s="60" t="s">
        <v>306</v>
      </c>
      <c r="B25" s="485"/>
      <c r="C25" s="171">
        <v>44895</v>
      </c>
      <c r="D25" s="194" t="s">
        <v>132</v>
      </c>
      <c r="E25" s="177" t="s">
        <v>148</v>
      </c>
      <c r="F25" s="78" t="s">
        <v>129</v>
      </c>
      <c r="G25" s="393">
        <v>0</v>
      </c>
      <c r="H25" s="394" t="s">
        <v>0</v>
      </c>
      <c r="I25" s="402">
        <v>3</v>
      </c>
      <c r="J25" s="81" t="s">
        <v>3</v>
      </c>
      <c r="K25" s="52"/>
      <c r="L25" s="495" t="str">
        <f>IF(OR(Copa2022!F33="",G25=""),"",
IF(AND(Copa2022!F33=G25,Copa2022!H33=I25),Regras!$J$25,IF(Y25=Regras!F47,Regras!$J$26,0)))</f>
        <v/>
      </c>
      <c r="M25" s="495"/>
      <c r="N25" s="318"/>
      <c r="O25" s="412">
        <v>4</v>
      </c>
      <c r="P25" s="413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 x14ac:dyDescent="0.25">
      <c r="A26" s="60" t="s">
        <v>307</v>
      </c>
      <c r="B26" s="486"/>
      <c r="C26" s="173">
        <v>44895</v>
      </c>
      <c r="D26" s="195" t="s">
        <v>132</v>
      </c>
      <c r="E26" s="178" t="s">
        <v>164</v>
      </c>
      <c r="F26" s="90" t="s">
        <v>159</v>
      </c>
      <c r="G26" s="399">
        <v>0</v>
      </c>
      <c r="H26" s="400" t="s">
        <v>0</v>
      </c>
      <c r="I26" s="405">
        <v>2</v>
      </c>
      <c r="J26" s="93" t="s">
        <v>127</v>
      </c>
      <c r="K26" s="52"/>
      <c r="L26" s="495" t="str">
        <f>IF(OR(Copa2022!F34="",G26=""),"",
IF(AND(Copa2022!F34=G26,Copa2022!H34=I26),Regras!$J$25,IF(Y26=Regras!F48,Regras!$J$26,0)))</f>
        <v/>
      </c>
      <c r="M26" s="495"/>
      <c r="N26" s="318"/>
      <c r="O26" s="409"/>
      <c r="P26" s="410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 x14ac:dyDescent="0.25">
      <c r="A27" s="60" t="s">
        <v>308</v>
      </c>
      <c r="B27" s="48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91">
        <v>2</v>
      </c>
      <c r="H27" s="392" t="s">
        <v>0</v>
      </c>
      <c r="I27" s="401">
        <v>0</v>
      </c>
      <c r="J27" s="77" t="s">
        <v>8</v>
      </c>
      <c r="K27" s="52"/>
      <c r="L27" s="495" t="str">
        <f>IF(OR(Copa2022!F35="",G27=""),"",
IF(AND(Copa2022!F35=G27,Copa2022!H35=I27),Regras!$J$25,IF(Y27=Regras!F49,Regras!$J$26,0)))</f>
        <v/>
      </c>
      <c r="M27" s="495"/>
      <c r="N27" s="318"/>
      <c r="O27" s="502" t="s">
        <v>53</v>
      </c>
      <c r="P27" s="503"/>
      <c r="Q27" s="324" t="str">
        <f>IF(Copa2022!F40="","",IF(Copa2022!O36=Silvia!P28,Regras!$J$27,0))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 x14ac:dyDescent="0.2">
      <c r="A28" s="60" t="s">
        <v>309</v>
      </c>
      <c r="B28" s="485"/>
      <c r="C28" s="171">
        <v>44888</v>
      </c>
      <c r="D28" s="194" t="s">
        <v>134</v>
      </c>
      <c r="E28" s="172" t="s">
        <v>157</v>
      </c>
      <c r="F28" s="78" t="s">
        <v>11</v>
      </c>
      <c r="G28" s="393">
        <v>2</v>
      </c>
      <c r="H28" s="394" t="s">
        <v>0</v>
      </c>
      <c r="I28" s="402">
        <v>0</v>
      </c>
      <c r="J28" s="81" t="s">
        <v>160</v>
      </c>
      <c r="K28" s="52"/>
      <c r="L28" s="495" t="str">
        <f>IF(OR(Copa2022!F36="",G28=""),"",
IF(AND(Copa2022!F36=G28,Copa2022!H36=I28),Regras!$J$25,IF(Y28=Regras!F50,Regras!$J$26,0)))</f>
        <v/>
      </c>
      <c r="M28" s="495"/>
      <c r="N28" s="318"/>
      <c r="O28" s="411">
        <v>1</v>
      </c>
      <c r="P28" s="410" t="s">
        <v>11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 x14ac:dyDescent="0.25">
      <c r="A29" s="60" t="s">
        <v>310</v>
      </c>
      <c r="B29" s="485"/>
      <c r="C29" s="171">
        <v>44892</v>
      </c>
      <c r="D29" s="194" t="s">
        <v>133</v>
      </c>
      <c r="E29" s="172" t="s">
        <v>162</v>
      </c>
      <c r="F29" s="78" t="s">
        <v>8</v>
      </c>
      <c r="G29" s="393">
        <v>1</v>
      </c>
      <c r="H29" s="394" t="s">
        <v>0</v>
      </c>
      <c r="I29" s="402">
        <v>1</v>
      </c>
      <c r="J29" s="81" t="s">
        <v>160</v>
      </c>
      <c r="K29" s="52"/>
      <c r="L29" s="495" t="str">
        <f>IF(OR(Copa2022!F37="",G29=""),"",
IF(AND(Copa2022!F37=G29,Copa2022!H37=I29),Regras!$J$25,IF(Y29=Regras!F51,Regras!$J$26,0)))</f>
        <v/>
      </c>
      <c r="M29" s="495"/>
      <c r="N29" s="318"/>
      <c r="O29" s="414">
        <v>2</v>
      </c>
      <c r="P29" s="415" t="s">
        <v>7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 x14ac:dyDescent="0.2">
      <c r="A30" s="60" t="s">
        <v>311</v>
      </c>
      <c r="B30" s="485"/>
      <c r="C30" s="171">
        <v>44892</v>
      </c>
      <c r="D30" s="194" t="s">
        <v>136</v>
      </c>
      <c r="E30" s="172" t="s">
        <v>161</v>
      </c>
      <c r="F30" s="78" t="s">
        <v>11</v>
      </c>
      <c r="G30" s="393">
        <v>2</v>
      </c>
      <c r="H30" s="394" t="s">
        <v>0</v>
      </c>
      <c r="I30" s="402">
        <v>1</v>
      </c>
      <c r="J30" s="81" t="s">
        <v>7</v>
      </c>
      <c r="K30" s="52"/>
      <c r="L30" s="495" t="str">
        <f>IF(OR(Copa2022!F38="",G30=""),"",
IF(AND(Copa2022!F38=G30,Copa2022!H38=I30),Regras!$J$25,IF(Y30=Regras!F52,Regras!$J$26,0)))</f>
        <v/>
      </c>
      <c r="M30" s="495"/>
      <c r="N30" s="318"/>
      <c r="O30" s="411">
        <v>3</v>
      </c>
      <c r="P30" s="410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 x14ac:dyDescent="0.25">
      <c r="A31" s="60" t="s">
        <v>312</v>
      </c>
      <c r="B31" s="485"/>
      <c r="C31" s="171">
        <v>44896</v>
      </c>
      <c r="D31" s="194" t="s">
        <v>136</v>
      </c>
      <c r="E31" s="172" t="s">
        <v>143</v>
      </c>
      <c r="F31" s="78" t="s">
        <v>8</v>
      </c>
      <c r="G31" s="393">
        <v>0</v>
      </c>
      <c r="H31" s="394" t="s">
        <v>0</v>
      </c>
      <c r="I31" s="402">
        <v>2</v>
      </c>
      <c r="J31" s="81" t="s">
        <v>11</v>
      </c>
      <c r="K31" s="52"/>
      <c r="L31" s="495" t="str">
        <f>IF(OR(Copa2022!F39="",G31=""),"",
IF(AND(Copa2022!F39=G31,Copa2022!H39=I31),Regras!$J$25,IF(Y31=Regras!F53,Regras!$J$26,0)))</f>
        <v/>
      </c>
      <c r="M31" s="495"/>
      <c r="N31" s="318"/>
      <c r="O31" s="412" t="s">
        <v>105</v>
      </c>
      <c r="P31" s="413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 x14ac:dyDescent="0.25">
      <c r="A32" s="60" t="s">
        <v>313</v>
      </c>
      <c r="B32" s="486"/>
      <c r="C32" s="173">
        <v>44896</v>
      </c>
      <c r="D32" s="195" t="s">
        <v>136</v>
      </c>
      <c r="E32" s="174" t="s">
        <v>161</v>
      </c>
      <c r="F32" s="86" t="s">
        <v>160</v>
      </c>
      <c r="G32" s="397">
        <v>0</v>
      </c>
      <c r="H32" s="398" t="s">
        <v>0</v>
      </c>
      <c r="I32" s="403">
        <v>2</v>
      </c>
      <c r="J32" s="89" t="s">
        <v>7</v>
      </c>
      <c r="K32" s="52"/>
      <c r="L32" s="495" t="str">
        <f>IF(OR(Copa2022!F40="",G32=""),"",
IF(AND(Copa2022!F40=G32,Copa2022!H40=I32),Regras!$J$25,IF(Y32=Regras!F54,Regras!$J$26,0)))</f>
        <v/>
      </c>
      <c r="M32" s="495"/>
      <c r="N32" s="318"/>
      <c r="O32" s="409"/>
      <c r="P32" s="410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 x14ac:dyDescent="0.25">
      <c r="A33" s="60" t="s">
        <v>314</v>
      </c>
      <c r="B33" s="48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95">
        <v>0</v>
      </c>
      <c r="H33" s="396" t="s">
        <v>0</v>
      </c>
      <c r="I33" s="404">
        <v>2</v>
      </c>
      <c r="J33" s="85" t="s">
        <v>70</v>
      </c>
      <c r="K33" s="52"/>
      <c r="L33" s="495" t="str">
        <f>IF(OR(Copa2022!F41="",G33=""),"",
IF(AND(Copa2022!F41=G33,Copa2022!H41=I33),Regras!$J$25,IF(Y33=Regras!F55,Regras!$J$26,0)))</f>
        <v/>
      </c>
      <c r="M33" s="495"/>
      <c r="N33" s="318"/>
      <c r="O33" s="502" t="s">
        <v>56</v>
      </c>
      <c r="P33" s="503"/>
      <c r="Q33" s="324" t="str">
        <f>IF(Copa2022!F46="","",IF(Copa2022!O42=Silvia!P34,Regras!$J$27,0))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/>
      </c>
    </row>
    <row r="34" spans="1:25" s="60" customFormat="1" ht="35.1" customHeight="1" x14ac:dyDescent="0.2">
      <c r="A34" s="60" t="s">
        <v>315</v>
      </c>
      <c r="B34" s="485"/>
      <c r="C34" s="171">
        <v>44888</v>
      </c>
      <c r="D34" s="194" t="s">
        <v>136</v>
      </c>
      <c r="E34" s="177" t="s">
        <v>162</v>
      </c>
      <c r="F34" s="78" t="s">
        <v>104</v>
      </c>
      <c r="G34" s="393">
        <v>2</v>
      </c>
      <c r="H34" s="394" t="s">
        <v>0</v>
      </c>
      <c r="I34" s="402">
        <v>0</v>
      </c>
      <c r="J34" s="81" t="s">
        <v>150</v>
      </c>
      <c r="K34" s="52"/>
      <c r="L34" s="495" t="str">
        <f>IF(OR(Copa2022!F42="",G34=""),"",
IF(AND(Copa2022!F42=G34,Copa2022!H42=I34),Regras!$J$25,IF(Y34=Regras!F56,Regras!$J$26,0)))</f>
        <v/>
      </c>
      <c r="M34" s="495"/>
      <c r="N34" s="318"/>
      <c r="O34" s="411">
        <v>1</v>
      </c>
      <c r="P34" s="410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 x14ac:dyDescent="0.25">
      <c r="A35" s="60" t="s">
        <v>316</v>
      </c>
      <c r="B35" s="485"/>
      <c r="C35" s="171">
        <v>44892</v>
      </c>
      <c r="D35" s="194" t="s">
        <v>135</v>
      </c>
      <c r="E35" s="177" t="s">
        <v>157</v>
      </c>
      <c r="F35" s="78" t="s">
        <v>104</v>
      </c>
      <c r="G35" s="393">
        <v>3</v>
      </c>
      <c r="H35" s="394" t="s">
        <v>0</v>
      </c>
      <c r="I35" s="402">
        <v>0</v>
      </c>
      <c r="J35" s="81" t="s">
        <v>126</v>
      </c>
      <c r="K35" s="52"/>
      <c r="L35" s="495" t="str">
        <f>IF(OR(Copa2022!F43="",G35=""),"",
IF(AND(Copa2022!F43=G35,Copa2022!H43=I35),Regras!$J$25,IF(Y35=Regras!F57,Regras!$J$26,0)))</f>
        <v/>
      </c>
      <c r="M35" s="495"/>
      <c r="N35" s="318"/>
      <c r="O35" s="414">
        <v>2</v>
      </c>
      <c r="P35" s="415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 x14ac:dyDescent="0.2">
      <c r="A36" s="60" t="s">
        <v>317</v>
      </c>
      <c r="B36" s="485"/>
      <c r="C36" s="171">
        <v>44892</v>
      </c>
      <c r="D36" s="194" t="s">
        <v>134</v>
      </c>
      <c r="E36" s="177" t="s">
        <v>143</v>
      </c>
      <c r="F36" s="78" t="s">
        <v>70</v>
      </c>
      <c r="G36" s="393">
        <v>2</v>
      </c>
      <c r="H36" s="394" t="s">
        <v>0</v>
      </c>
      <c r="I36" s="402">
        <v>0</v>
      </c>
      <c r="J36" s="81" t="s">
        <v>150</v>
      </c>
      <c r="K36" s="52"/>
      <c r="L36" s="495" t="str">
        <f>IF(OR(Copa2022!F44="",G36=""),"",
IF(AND(Copa2022!F44=G36,Copa2022!H44=I36),Regras!$J$25,IF(Y36=Regras!F58,Regras!$J$26,0)))</f>
        <v/>
      </c>
      <c r="M36" s="495"/>
      <c r="N36" s="318"/>
      <c r="O36" s="411">
        <v>3</v>
      </c>
      <c r="P36" s="410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 x14ac:dyDescent="0.25">
      <c r="A37" s="60" t="s">
        <v>318</v>
      </c>
      <c r="B37" s="485"/>
      <c r="C37" s="171">
        <v>44896</v>
      </c>
      <c r="D37" s="194" t="s">
        <v>132</v>
      </c>
      <c r="E37" s="177" t="s">
        <v>162</v>
      </c>
      <c r="F37" s="78" t="s">
        <v>70</v>
      </c>
      <c r="G37" s="393">
        <v>1</v>
      </c>
      <c r="H37" s="394" t="s">
        <v>0</v>
      </c>
      <c r="I37" s="402">
        <v>2</v>
      </c>
      <c r="J37" s="81" t="s">
        <v>104</v>
      </c>
      <c r="K37" s="52"/>
      <c r="L37" s="495" t="str">
        <f>IF(OR(Copa2022!F45="",G37=""),"",
IF(AND(Copa2022!F45=G37,Copa2022!H45=I37),Regras!$J$25,IF(Y37=Regras!F59,Regras!$J$26,0)))</f>
        <v/>
      </c>
      <c r="M37" s="495"/>
      <c r="N37" s="318"/>
      <c r="O37" s="412">
        <v>4</v>
      </c>
      <c r="P37" s="413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 x14ac:dyDescent="0.25">
      <c r="A38" s="60" t="s">
        <v>319</v>
      </c>
      <c r="B38" s="486"/>
      <c r="C38" s="173">
        <v>44896</v>
      </c>
      <c r="D38" s="195" t="s">
        <v>132</v>
      </c>
      <c r="E38" s="178" t="s">
        <v>157</v>
      </c>
      <c r="F38" s="90" t="s">
        <v>150</v>
      </c>
      <c r="G38" s="399">
        <v>2</v>
      </c>
      <c r="H38" s="400" t="s">
        <v>0</v>
      </c>
      <c r="I38" s="405">
        <v>1</v>
      </c>
      <c r="J38" s="93" t="s">
        <v>126</v>
      </c>
      <c r="K38" s="52"/>
      <c r="L38" s="495" t="str">
        <f>IF(OR(Copa2022!F46="",G38=""),"",
IF(AND(Copa2022!F46=G38,Copa2022!H46=I38),Regras!$J$25,IF(Y38=Regras!F60,Regras!$J$26,0)))</f>
        <v/>
      </c>
      <c r="M38" s="495"/>
      <c r="N38" s="318"/>
      <c r="O38" s="409"/>
      <c r="P38" s="410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 x14ac:dyDescent="0.25">
      <c r="A39" s="60" t="s">
        <v>320</v>
      </c>
      <c r="B39" s="48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91">
        <v>2</v>
      </c>
      <c r="H39" s="392" t="s">
        <v>0</v>
      </c>
      <c r="I39" s="401">
        <v>0</v>
      </c>
      <c r="J39" s="77" t="s">
        <v>151</v>
      </c>
      <c r="K39" s="52"/>
      <c r="L39" s="495" t="str">
        <f>IF(OR(Copa2022!F47="",G39=""),"",
IF(AND(Copa2022!F47=G39,Copa2022!H47=I39),Regras!$J$25,IF(Y39=Regras!F61,Regras!$J$26,0)))</f>
        <v/>
      </c>
      <c r="M39" s="495"/>
      <c r="N39" s="318"/>
      <c r="O39" s="502" t="s">
        <v>58</v>
      </c>
      <c r="P39" s="503"/>
      <c r="Q39" s="324" t="str">
        <f>IF(Copa2022!F52="","",IF(Copa2022!O48=Silvia!P40,Regras!$J$27,0))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 x14ac:dyDescent="0.2">
      <c r="A40" s="60" t="s">
        <v>321</v>
      </c>
      <c r="B40" s="485"/>
      <c r="C40" s="171">
        <v>44889</v>
      </c>
      <c r="D40" s="194" t="s">
        <v>136</v>
      </c>
      <c r="E40" s="172" t="s">
        <v>146</v>
      </c>
      <c r="F40" s="78" t="s">
        <v>10</v>
      </c>
      <c r="G40" s="393">
        <v>3</v>
      </c>
      <c r="H40" s="394" t="s">
        <v>0</v>
      </c>
      <c r="I40" s="402">
        <v>1</v>
      </c>
      <c r="J40" s="81" t="s">
        <v>128</v>
      </c>
      <c r="K40" s="52"/>
      <c r="L40" s="495" t="str">
        <f>IF(OR(Copa2022!F48="",G40=""),"",
IF(AND(Copa2022!F48=G40,Copa2022!H48=I40),Regras!$J$25,IF(Y40=Regras!F62,Regras!$J$26,0)))</f>
        <v/>
      </c>
      <c r="M40" s="495"/>
      <c r="N40" s="318"/>
      <c r="O40" s="416">
        <v>1</v>
      </c>
      <c r="P40" s="417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 x14ac:dyDescent="0.25">
      <c r="A41" s="60" t="s">
        <v>322</v>
      </c>
      <c r="B41" s="485"/>
      <c r="C41" s="171">
        <v>44893</v>
      </c>
      <c r="D41" s="194" t="s">
        <v>133</v>
      </c>
      <c r="E41" s="172" t="s">
        <v>164</v>
      </c>
      <c r="F41" s="78" t="s">
        <v>151</v>
      </c>
      <c r="G41" s="393">
        <v>0</v>
      </c>
      <c r="H41" s="394" t="s">
        <v>0</v>
      </c>
      <c r="I41" s="402">
        <v>2</v>
      </c>
      <c r="J41" s="81" t="s">
        <v>128</v>
      </c>
      <c r="K41" s="52"/>
      <c r="L41" s="495" t="str">
        <f>IF(OR(Copa2022!F49="",G41=""),"",
IF(AND(Copa2022!F49=G41,Copa2022!H49=I41),Regras!$J$25,IF(Y41=Regras!F63,Regras!$J$26,0)))</f>
        <v/>
      </c>
      <c r="M41" s="495"/>
      <c r="N41" s="318"/>
      <c r="O41" s="414">
        <v>2</v>
      </c>
      <c r="P41" s="415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 x14ac:dyDescent="0.2">
      <c r="A42" s="60" t="s">
        <v>323</v>
      </c>
      <c r="B42" s="485"/>
      <c r="C42" s="171">
        <v>44893</v>
      </c>
      <c r="D42" s="194" t="s">
        <v>134</v>
      </c>
      <c r="E42" s="172" t="s">
        <v>163</v>
      </c>
      <c r="F42" s="78" t="s">
        <v>10</v>
      </c>
      <c r="G42" s="393">
        <v>2</v>
      </c>
      <c r="H42" s="394" t="s">
        <v>0</v>
      </c>
      <c r="I42" s="402">
        <v>0</v>
      </c>
      <c r="J42" s="81" t="s">
        <v>12</v>
      </c>
      <c r="K42" s="52"/>
      <c r="L42" s="495" t="str">
        <f>IF(OR(Copa2022!F50="",G42=""),"",
IF(AND(Copa2022!F50=G42,Copa2022!H50=I42),Regras!$J$25,IF(Y42=Regras!F64,Regras!$J$26,0)))</f>
        <v/>
      </c>
      <c r="M42" s="495"/>
      <c r="N42" s="318"/>
      <c r="O42" s="411">
        <v>3</v>
      </c>
      <c r="P42" s="410" t="s">
        <v>128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 x14ac:dyDescent="0.25">
      <c r="A43" s="60" t="s">
        <v>324</v>
      </c>
      <c r="B43" s="485"/>
      <c r="C43" s="171">
        <v>44897</v>
      </c>
      <c r="D43" s="194" t="s">
        <v>136</v>
      </c>
      <c r="E43" s="172" t="s">
        <v>146</v>
      </c>
      <c r="F43" s="78" t="s">
        <v>151</v>
      </c>
      <c r="G43" s="393">
        <v>0</v>
      </c>
      <c r="H43" s="394" t="s">
        <v>0</v>
      </c>
      <c r="I43" s="402">
        <v>3</v>
      </c>
      <c r="J43" s="81" t="s">
        <v>10</v>
      </c>
      <c r="K43" s="52"/>
      <c r="L43" s="495" t="str">
        <f>IF(OR(Copa2022!F51="",G43=""),"",
IF(AND(Copa2022!F51=G43,Copa2022!H51=I43),Regras!$J$25,IF(Y43=Regras!F65,Regras!$J$26,0)))</f>
        <v/>
      </c>
      <c r="M43" s="495"/>
      <c r="N43" s="318"/>
      <c r="O43" s="412">
        <v>4</v>
      </c>
      <c r="P43" s="413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 x14ac:dyDescent="0.25">
      <c r="A44" s="60" t="s">
        <v>325</v>
      </c>
      <c r="B44" s="486"/>
      <c r="C44" s="173">
        <v>44897</v>
      </c>
      <c r="D44" s="195" t="s">
        <v>136</v>
      </c>
      <c r="E44" s="174" t="s">
        <v>163</v>
      </c>
      <c r="F44" s="86" t="s">
        <v>128</v>
      </c>
      <c r="G44" s="397">
        <v>1</v>
      </c>
      <c r="H44" s="398" t="s">
        <v>0</v>
      </c>
      <c r="I44" s="403">
        <v>2</v>
      </c>
      <c r="J44" s="89" t="s">
        <v>12</v>
      </c>
      <c r="K44" s="52"/>
      <c r="L44" s="495" t="str">
        <f>IF(OR(Copa2022!F52="",G44=""),"",
IF(AND(Copa2022!F52=G44,Copa2022!H52=I44),Regras!$J$25,IF(Y44=Regras!F66,Regras!$J$26,0)))</f>
        <v/>
      </c>
      <c r="M44" s="495"/>
      <c r="N44" s="318"/>
      <c r="O44" s="409"/>
      <c r="P44" s="410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 x14ac:dyDescent="0.25">
      <c r="A45" s="60" t="s">
        <v>326</v>
      </c>
      <c r="B45" s="48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95">
        <v>1</v>
      </c>
      <c r="H45" s="396" t="s">
        <v>0</v>
      </c>
      <c r="I45" s="404">
        <v>0</v>
      </c>
      <c r="J45" s="85" t="s">
        <v>5</v>
      </c>
      <c r="K45" s="52"/>
      <c r="L45" s="495" t="str">
        <f>IF(OR(Copa2022!F53="",G45=""),"",
IF(AND(Copa2022!F53=G45,Copa2022!H53=I45),Regras!$J$25,IF(Y45=Regras!F67,Regras!$J$26,0)))</f>
        <v/>
      </c>
      <c r="M45" s="495"/>
      <c r="N45" s="318"/>
      <c r="O45" s="502" t="s">
        <v>59</v>
      </c>
      <c r="P45" s="503"/>
      <c r="Q45" s="324" t="str">
        <f>IF(Copa2022!F58="","",IF(Copa2022!O54=Silvia!P46,Regras!$J$27,0))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 x14ac:dyDescent="0.2">
      <c r="A46" s="60" t="s">
        <v>327</v>
      </c>
      <c r="B46" s="485"/>
      <c r="C46" s="171">
        <v>44889</v>
      </c>
      <c r="D46" s="194" t="s">
        <v>134</v>
      </c>
      <c r="E46" s="177" t="s">
        <v>163</v>
      </c>
      <c r="F46" s="78" t="s">
        <v>9</v>
      </c>
      <c r="G46" s="393">
        <v>1</v>
      </c>
      <c r="H46" s="394" t="s">
        <v>0</v>
      </c>
      <c r="I46" s="402">
        <v>0</v>
      </c>
      <c r="J46" s="81" t="s">
        <v>152</v>
      </c>
      <c r="K46" s="52"/>
      <c r="L46" s="495" t="str">
        <f>IF(OR(Copa2022!F54="",G46=""),"",
IF(AND(Copa2022!F54=G46,Copa2022!H54=I46),Regras!$J$25,IF(Y46=Regras!F68,Regras!$J$26,0)))</f>
        <v/>
      </c>
      <c r="M46" s="495"/>
      <c r="N46" s="318"/>
      <c r="O46" s="411">
        <v>1</v>
      </c>
      <c r="P46" s="410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 x14ac:dyDescent="0.25">
      <c r="A47" s="60" t="s">
        <v>328</v>
      </c>
      <c r="B47" s="485"/>
      <c r="C47" s="171">
        <v>44893</v>
      </c>
      <c r="D47" s="194" t="s">
        <v>135</v>
      </c>
      <c r="E47" s="177" t="s">
        <v>148</v>
      </c>
      <c r="F47" s="78" t="s">
        <v>5</v>
      </c>
      <c r="G47" s="393">
        <v>2</v>
      </c>
      <c r="H47" s="394" t="s">
        <v>0</v>
      </c>
      <c r="I47" s="402">
        <v>1</v>
      </c>
      <c r="J47" s="81" t="s">
        <v>152</v>
      </c>
      <c r="K47" s="52"/>
      <c r="L47" s="495" t="str">
        <f>IF(OR(Copa2022!F55="",G47=""),"",
IF(AND(Copa2022!F55=G47,Copa2022!H55=I47),Regras!$J$25,IF(Y47=Regras!F69,Regras!$J$26,0)))</f>
        <v/>
      </c>
      <c r="M47" s="495"/>
      <c r="N47" s="318"/>
      <c r="O47" s="414">
        <v>2</v>
      </c>
      <c r="P47" s="415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 x14ac:dyDescent="0.2">
      <c r="A48" s="60" t="s">
        <v>329</v>
      </c>
      <c r="B48" s="485"/>
      <c r="C48" s="171">
        <v>44893</v>
      </c>
      <c r="D48" s="194" t="s">
        <v>136</v>
      </c>
      <c r="E48" s="177" t="s">
        <v>146</v>
      </c>
      <c r="F48" s="78" t="s">
        <v>9</v>
      </c>
      <c r="G48" s="393">
        <v>1</v>
      </c>
      <c r="H48" s="394" t="s">
        <v>0</v>
      </c>
      <c r="I48" s="402">
        <v>1</v>
      </c>
      <c r="J48" s="81" t="s">
        <v>2</v>
      </c>
      <c r="K48" s="52"/>
      <c r="L48" s="495" t="str">
        <f>IF(OR(Copa2022!F56="",G48=""),"",
IF(AND(Copa2022!F56=G48,Copa2022!H56=I48),Regras!$J$25,IF(Y48=Regras!F70,Regras!$J$26,0)))</f>
        <v/>
      </c>
      <c r="M48" s="495"/>
      <c r="N48" s="318"/>
      <c r="O48" s="411">
        <v>3</v>
      </c>
      <c r="P48" s="410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 x14ac:dyDescent="0.25">
      <c r="A49" s="60" t="s">
        <v>330</v>
      </c>
      <c r="B49" s="485"/>
      <c r="C49" s="171">
        <v>44897</v>
      </c>
      <c r="D49" s="194" t="s">
        <v>132</v>
      </c>
      <c r="E49" s="177" t="s">
        <v>148</v>
      </c>
      <c r="F49" s="78" t="s">
        <v>5</v>
      </c>
      <c r="G49" s="393">
        <v>0</v>
      </c>
      <c r="H49" s="394" t="s">
        <v>0</v>
      </c>
      <c r="I49" s="402">
        <v>2</v>
      </c>
      <c r="J49" s="81" t="s">
        <v>9</v>
      </c>
      <c r="K49" s="52"/>
      <c r="L49" s="495" t="str">
        <f>IF(OR(Copa2022!F57="",G49=""),"",
IF(AND(Copa2022!F57=G49,Copa2022!H57=I49),Regras!$J$25,IF(Y49=Regras!F71,Regras!$J$26,0)))</f>
        <v/>
      </c>
      <c r="M49" s="495"/>
      <c r="N49" s="318"/>
      <c r="O49" s="412">
        <v>4</v>
      </c>
      <c r="P49" s="413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 x14ac:dyDescent="0.25">
      <c r="A50" s="477" t="s">
        <v>331</v>
      </c>
      <c r="B50" s="486"/>
      <c r="C50" s="173">
        <v>44897</v>
      </c>
      <c r="D50" s="195" t="s">
        <v>132</v>
      </c>
      <c r="E50" s="178" t="s">
        <v>164</v>
      </c>
      <c r="F50" s="19" t="s">
        <v>152</v>
      </c>
      <c r="G50" s="406">
        <v>1</v>
      </c>
      <c r="H50" s="407" t="s">
        <v>0</v>
      </c>
      <c r="I50" s="408">
        <v>2</v>
      </c>
      <c r="J50" s="130" t="s">
        <v>2</v>
      </c>
      <c r="K50" s="52"/>
      <c r="L50" s="495" t="str">
        <f>IF(OR(Copa2022!F58="",G50=""),"",
IF(AND(Copa2022!F58=G50,Copa2022!H58=I50),Regras!$J$25,IF(Y50=Regras!F72,Regras!$J$26,0)))</f>
        <v/>
      </c>
      <c r="M50" s="495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x14ac:dyDescent="0.2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 x14ac:dyDescent="0.25">
      <c r="B52" s="44"/>
      <c r="C52" s="506" t="s">
        <v>124</v>
      </c>
      <c r="D52" s="507"/>
      <c r="E52" s="507"/>
      <c r="F52" s="507"/>
      <c r="G52" s="507"/>
      <c r="H52" s="507"/>
      <c r="I52" s="507"/>
      <c r="J52" s="507"/>
      <c r="K52" s="507"/>
      <c r="L52" s="507"/>
      <c r="M52" s="508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 x14ac:dyDescent="0.25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4" t="s">
        <v>78</v>
      </c>
      <c r="M53" s="505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 x14ac:dyDescent="0.25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 x14ac:dyDescent="0.25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 x14ac:dyDescent="0.25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 x14ac:dyDescent="0.25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 x14ac:dyDescent="0.25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 x14ac:dyDescent="0.25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 x14ac:dyDescent="0.25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 x14ac:dyDescent="0.25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 x14ac:dyDescent="0.25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23" t="s">
        <v>78</v>
      </c>
      <c r="M62" s="524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 x14ac:dyDescent="0.25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 x14ac:dyDescent="0.25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 x14ac:dyDescent="0.25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 x14ac:dyDescent="0.25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 x14ac:dyDescent="0.25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20" t="s">
        <v>78</v>
      </c>
      <c r="M67" s="522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 x14ac:dyDescent="0.25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 x14ac:dyDescent="0.25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 x14ac:dyDescent="0.25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20" t="s">
        <v>78</v>
      </c>
      <c r="M70" s="522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 x14ac:dyDescent="0.25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 x14ac:dyDescent="0.25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20" t="s">
        <v>78</v>
      </c>
      <c r="M72" s="521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 x14ac:dyDescent="0.25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 x14ac:dyDescent="0.2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 x14ac:dyDescent="0.25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 x14ac:dyDescent="0.25">
      <c r="C76" s="2"/>
      <c r="D76" s="2"/>
      <c r="E76" s="125" t="s">
        <v>83</v>
      </c>
      <c r="F76" s="511">
        <f>'2ª Fase'!E40:I40</f>
        <v>0</v>
      </c>
      <c r="G76" s="511"/>
      <c r="H76" s="511"/>
      <c r="I76" s="511"/>
      <c r="J76" s="512"/>
      <c r="K76" s="50"/>
      <c r="L76" s="1"/>
      <c r="M76" s="1"/>
    </row>
    <row r="77" spans="1:25" ht="15" customHeight="1" x14ac:dyDescent="0.2">
      <c r="C77" s="2"/>
      <c r="D77" s="2"/>
      <c r="E77" s="126" t="s">
        <v>84</v>
      </c>
      <c r="F77" s="513">
        <f>'2ª Fase'!E41:I41</f>
        <v>0</v>
      </c>
      <c r="G77" s="513"/>
      <c r="H77" s="513"/>
      <c r="I77" s="513"/>
      <c r="J77" s="514"/>
      <c r="K77" s="50"/>
      <c r="L77" s="1"/>
      <c r="M77" s="1"/>
    </row>
    <row r="78" spans="1:25" ht="15" customHeight="1" x14ac:dyDescent="0.2">
      <c r="C78" s="2"/>
      <c r="D78" s="2"/>
      <c r="E78" s="127" t="s">
        <v>102</v>
      </c>
      <c r="F78" s="515">
        <f>'2ª Fase'!E42:I42</f>
        <v>0</v>
      </c>
      <c r="G78" s="515"/>
      <c r="H78" s="515"/>
      <c r="I78" s="515"/>
      <c r="J78" s="516"/>
      <c r="K78" s="50"/>
      <c r="L78" s="1"/>
      <c r="M78" s="1"/>
    </row>
    <row r="79" spans="1:25" ht="15" customHeight="1" thickBot="1" x14ac:dyDescent="0.25">
      <c r="C79" s="2"/>
      <c r="D79" s="2"/>
      <c r="E79" s="128" t="s">
        <v>103</v>
      </c>
      <c r="F79" s="517">
        <f>'2ª Fase'!E43:I43</f>
        <v>0</v>
      </c>
      <c r="G79" s="517"/>
      <c r="H79" s="517"/>
      <c r="I79" s="517"/>
      <c r="J79" s="518"/>
      <c r="K79" s="50"/>
      <c r="L79" s="1"/>
      <c r="M79" s="1"/>
    </row>
    <row r="80" spans="1:25" ht="15" hidden="1" customHeight="1" x14ac:dyDescent="0.2">
      <c r="C80" s="2"/>
      <c r="D80" s="2"/>
      <c r="E80" s="192"/>
      <c r="F80" s="509"/>
      <c r="G80" s="509"/>
      <c r="H80" s="509"/>
      <c r="I80" s="509"/>
      <c r="J80" s="510"/>
      <c r="K80" s="50"/>
      <c r="L80" s="129"/>
      <c r="M80" s="1"/>
    </row>
    <row r="81" spans="3:13" ht="15.75" x14ac:dyDescent="0.2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 x14ac:dyDescent="0.2"/>
    <row r="90" spans="3:13" ht="15.75" customHeight="1" x14ac:dyDescent="0.2"/>
    <row r="91" spans="3:13" ht="15.75" customHeight="1" x14ac:dyDescent="0.2"/>
    <row r="92" spans="3:13" ht="15.75" customHeight="1" x14ac:dyDescent="0.2"/>
    <row r="93" spans="3:13" ht="15.75" customHeight="1" x14ac:dyDescent="0.2"/>
    <row r="94" spans="3:13" ht="15.75" customHeight="1" x14ac:dyDescent="0.2"/>
    <row r="95" spans="3:13" ht="15.75" customHeight="1" x14ac:dyDescent="0.2"/>
    <row r="96" spans="3:13" ht="15.75" customHeight="1" x14ac:dyDescent="0.2"/>
    <row r="117" spans="2:25" s="9" customFormat="1" ht="15.75" hidden="1" x14ac:dyDescent="0.2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F80:J80"/>
    <mergeCell ref="O45:P45"/>
    <mergeCell ref="F76:J76"/>
    <mergeCell ref="F77:J77"/>
    <mergeCell ref="F78:J78"/>
    <mergeCell ref="F79:J79"/>
    <mergeCell ref="L72:M72"/>
    <mergeCell ref="C52:M52"/>
    <mergeCell ref="L53:M53"/>
    <mergeCell ref="L62:M62"/>
    <mergeCell ref="L67:M67"/>
    <mergeCell ref="L70:M70"/>
    <mergeCell ref="B45:B50"/>
    <mergeCell ref="L45:M45"/>
    <mergeCell ref="L46:M46"/>
    <mergeCell ref="L47:M47"/>
    <mergeCell ref="L48:M48"/>
    <mergeCell ref="L49:M49"/>
    <mergeCell ref="L50:M50"/>
    <mergeCell ref="O33:P33"/>
    <mergeCell ref="B39:B44"/>
    <mergeCell ref="L39:M39"/>
    <mergeCell ref="L40:M40"/>
    <mergeCell ref="L41:M41"/>
    <mergeCell ref="L42:M42"/>
    <mergeCell ref="L43:M43"/>
    <mergeCell ref="L44:M44"/>
    <mergeCell ref="O39:P39"/>
    <mergeCell ref="B33:B38"/>
    <mergeCell ref="L33:M33"/>
    <mergeCell ref="L34:M34"/>
    <mergeCell ref="L35:M35"/>
    <mergeCell ref="L36:M36"/>
    <mergeCell ref="L37:M37"/>
    <mergeCell ref="L38:M38"/>
    <mergeCell ref="O21:P21"/>
    <mergeCell ref="B27:B32"/>
    <mergeCell ref="L27:M27"/>
    <mergeCell ref="L28:M28"/>
    <mergeCell ref="L29:M29"/>
    <mergeCell ref="L30:M30"/>
    <mergeCell ref="L31:M31"/>
    <mergeCell ref="L32:M32"/>
    <mergeCell ref="O27:P27"/>
    <mergeCell ref="B21:B26"/>
    <mergeCell ref="L21:M21"/>
    <mergeCell ref="L22:M22"/>
    <mergeCell ref="L23:M23"/>
    <mergeCell ref="L24:M24"/>
    <mergeCell ref="L25:M25"/>
    <mergeCell ref="L26:M26"/>
    <mergeCell ref="O9:P9"/>
    <mergeCell ref="B15:B20"/>
    <mergeCell ref="L15:M15"/>
    <mergeCell ref="L16:M16"/>
    <mergeCell ref="L17:M17"/>
    <mergeCell ref="L18:M18"/>
    <mergeCell ref="L19:M19"/>
    <mergeCell ref="L20:M20"/>
    <mergeCell ref="O15:P15"/>
    <mergeCell ref="B9:B14"/>
    <mergeCell ref="L9:M9"/>
    <mergeCell ref="L10:M10"/>
    <mergeCell ref="L11:M11"/>
    <mergeCell ref="L12:M12"/>
    <mergeCell ref="L13:M13"/>
    <mergeCell ref="L14:M14"/>
    <mergeCell ref="B3:B8"/>
    <mergeCell ref="L3:M3"/>
    <mergeCell ref="O3:P3"/>
    <mergeCell ref="L4:M4"/>
    <mergeCell ref="L5:M5"/>
    <mergeCell ref="L6:M6"/>
    <mergeCell ref="L7:M7"/>
    <mergeCell ref="L8:M8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106" priority="43" stopIfTrue="1" operator="equal">
      <formula>#REF!</formula>
    </cfRule>
  </conditionalFormatting>
  <conditionalFormatting sqref="M54:N54">
    <cfRule type="expression" dxfId="105" priority="42">
      <formula>$H$14="penaltis"</formula>
    </cfRule>
  </conditionalFormatting>
  <conditionalFormatting sqref="L55:N55">
    <cfRule type="expression" dxfId="104" priority="41">
      <formula>$H$15="penaltis"</formula>
    </cfRule>
  </conditionalFormatting>
  <conditionalFormatting sqref="L56:N56">
    <cfRule type="expression" dxfId="103" priority="40">
      <formula>$H$16="penaltis"</formula>
    </cfRule>
  </conditionalFormatting>
  <conditionalFormatting sqref="L57:N57">
    <cfRule type="expression" dxfId="102" priority="39">
      <formula>$H$17="penaltis"</formula>
    </cfRule>
  </conditionalFormatting>
  <conditionalFormatting sqref="L58:N58">
    <cfRule type="expression" dxfId="101" priority="38">
      <formula>$H$18="penaltis"</formula>
    </cfRule>
  </conditionalFormatting>
  <conditionalFormatting sqref="L59:N59">
    <cfRule type="expression" dxfId="100" priority="37">
      <formula>$H$19="penaltis"</formula>
    </cfRule>
  </conditionalFormatting>
  <conditionalFormatting sqref="L60:N60">
    <cfRule type="expression" dxfId="99" priority="36">
      <formula>$H$20="penaltis"</formula>
    </cfRule>
  </conditionalFormatting>
  <conditionalFormatting sqref="L61:N61">
    <cfRule type="expression" dxfId="98" priority="35">
      <formula>$H$21="penaltis"</formula>
    </cfRule>
  </conditionalFormatting>
  <conditionalFormatting sqref="N63">
    <cfRule type="expression" dxfId="97" priority="34">
      <formula>$H$23="penaltis"</formula>
    </cfRule>
  </conditionalFormatting>
  <conditionalFormatting sqref="N64">
    <cfRule type="expression" dxfId="96" priority="33" stopIfTrue="1">
      <formula>$H$24="penaltis"</formula>
    </cfRule>
  </conditionalFormatting>
  <conditionalFormatting sqref="N65">
    <cfRule type="expression" dxfId="95" priority="32" stopIfTrue="1">
      <formula>$H$25="penaltis"</formula>
    </cfRule>
  </conditionalFormatting>
  <conditionalFormatting sqref="N66">
    <cfRule type="expression" dxfId="94" priority="31" stopIfTrue="1">
      <formula>$H$26="penaltis"</formula>
    </cfRule>
  </conditionalFormatting>
  <conditionalFormatting sqref="N68">
    <cfRule type="expression" dxfId="93" priority="30" stopIfTrue="1">
      <formula>$H$28="penaltis"</formula>
    </cfRule>
  </conditionalFormatting>
  <conditionalFormatting sqref="N69">
    <cfRule type="expression" dxfId="92" priority="29" stopIfTrue="1">
      <formula>$H$29="penaltis"</formula>
    </cfRule>
  </conditionalFormatting>
  <conditionalFormatting sqref="N71">
    <cfRule type="expression" dxfId="91" priority="28" stopIfTrue="1">
      <formula>$H$31="penaltis"</formula>
    </cfRule>
  </conditionalFormatting>
  <conditionalFormatting sqref="N73">
    <cfRule type="expression" dxfId="90" priority="27" stopIfTrue="1">
      <formula>$H$33="penaltis"</formula>
    </cfRule>
  </conditionalFormatting>
  <conditionalFormatting sqref="L54:M54">
    <cfRule type="expression" dxfId="89" priority="26" stopIfTrue="1">
      <formula>$K$54="penaltis"</formula>
    </cfRule>
  </conditionalFormatting>
  <conditionalFormatting sqref="L55:M55">
    <cfRule type="expression" dxfId="88" priority="25" stopIfTrue="1">
      <formula>$K$55="penaltis"</formula>
    </cfRule>
  </conditionalFormatting>
  <conditionalFormatting sqref="L56:M56">
    <cfRule type="expression" dxfId="87" priority="24" stopIfTrue="1">
      <formula>$K$56="penaltis"</formula>
    </cfRule>
  </conditionalFormatting>
  <conditionalFormatting sqref="L57:M57">
    <cfRule type="expression" dxfId="86" priority="23" stopIfTrue="1">
      <formula>$K$57="penaltis"</formula>
    </cfRule>
  </conditionalFormatting>
  <conditionalFormatting sqref="L58:M58">
    <cfRule type="expression" dxfId="85" priority="22" stopIfTrue="1">
      <formula>$K$58="penaltis"</formula>
    </cfRule>
  </conditionalFormatting>
  <conditionalFormatting sqref="L59:M59">
    <cfRule type="expression" dxfId="84" priority="21" stopIfTrue="1">
      <formula>$K$59="penaltis"</formula>
    </cfRule>
  </conditionalFormatting>
  <conditionalFormatting sqref="L60:M60">
    <cfRule type="expression" dxfId="83" priority="20" stopIfTrue="1">
      <formula>$K$60="penaltis"</formula>
    </cfRule>
  </conditionalFormatting>
  <conditionalFormatting sqref="L61:M61">
    <cfRule type="expression" dxfId="82" priority="19" stopIfTrue="1">
      <formula>$K$61="penaltis"</formula>
    </cfRule>
  </conditionalFormatting>
  <conditionalFormatting sqref="L63:M63">
    <cfRule type="expression" dxfId="81" priority="18">
      <formula>$K$63="penaltis"</formula>
    </cfRule>
  </conditionalFormatting>
  <conditionalFormatting sqref="L64:M64">
    <cfRule type="expression" dxfId="80" priority="17">
      <formula>$K$64="penaltis"</formula>
    </cfRule>
  </conditionalFormatting>
  <conditionalFormatting sqref="L65:M65">
    <cfRule type="expression" dxfId="79" priority="16">
      <formula>$K$65="penaltis"</formula>
    </cfRule>
  </conditionalFormatting>
  <conditionalFormatting sqref="L66:M66">
    <cfRule type="expression" dxfId="78" priority="15">
      <formula>$K$66="penaltis"</formula>
    </cfRule>
  </conditionalFormatting>
  <conditionalFormatting sqref="L68:M68">
    <cfRule type="expression" dxfId="77" priority="14">
      <formula>$K$68="penaltis"</formula>
    </cfRule>
  </conditionalFormatting>
  <conditionalFormatting sqref="L69:M69">
    <cfRule type="expression" dxfId="76" priority="13">
      <formula>$K$69="penaltis"</formula>
    </cfRule>
  </conditionalFormatting>
  <conditionalFormatting sqref="L71:M71">
    <cfRule type="expression" dxfId="75" priority="12">
      <formula>$K$71="penaltis"</formula>
    </cfRule>
  </conditionalFormatting>
  <conditionalFormatting sqref="L73:M73">
    <cfRule type="expression" dxfId="74" priority="11">
      <formula>$K$73="penaltis"</formula>
    </cfRule>
  </conditionalFormatting>
  <conditionalFormatting sqref="O4:X5">
    <cfRule type="expression" dxfId="73" priority="10">
      <formula>$R$8=12</formula>
    </cfRule>
  </conditionalFormatting>
  <conditionalFormatting sqref="O10:X11">
    <cfRule type="expression" dxfId="72" priority="9">
      <formula>$R$14=12</formula>
    </cfRule>
  </conditionalFormatting>
  <conditionalFormatting sqref="O16:X17">
    <cfRule type="expression" dxfId="71" priority="8">
      <formula>$R$20=12</formula>
    </cfRule>
  </conditionalFormatting>
  <conditionalFormatting sqref="O22:X23">
    <cfRule type="expression" dxfId="70" priority="7">
      <formula>$R$26=12</formula>
    </cfRule>
  </conditionalFormatting>
  <conditionalFormatting sqref="O28:X29">
    <cfRule type="expression" dxfId="69" priority="6">
      <formula>$R$32=12</formula>
    </cfRule>
  </conditionalFormatting>
  <conditionalFormatting sqref="O34:X35">
    <cfRule type="expression" dxfId="68" priority="5">
      <formula>$R$38=12</formula>
    </cfRule>
  </conditionalFormatting>
  <conditionalFormatting sqref="O40:X41">
    <cfRule type="expression" dxfId="67" priority="4">
      <formula>$R$44=12</formula>
    </cfRule>
  </conditionalFormatting>
  <conditionalFormatting sqref="O46:X47">
    <cfRule type="expression" dxfId="66" priority="3">
      <formula>$R$50=12</formula>
    </cfRule>
  </conditionalFormatting>
  <conditionalFormatting sqref="F62:J73 B45 B9 B15 B21 B27 B33 B3 F3:F50 J3:J50">
    <cfRule type="cellIs" dxfId="65" priority="44" stopIfTrue="1" operator="equal">
      <formula>#REF!</formula>
    </cfRule>
  </conditionalFormatting>
  <conditionalFormatting sqref="B39">
    <cfRule type="cellIs" dxfId="64" priority="2" stopIfTrue="1" operator="equal">
      <formula>#REF!</formula>
    </cfRule>
  </conditionalFormatting>
  <conditionalFormatting sqref="F54:J61">
    <cfRule type="cellIs" dxfId="63" priority="1" stopIfTrue="1" operator="equal">
      <formula>$Z$7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 xr:uid="{00000000-0002-0000-1300-000000000000}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dimension ref="A1:HW117"/>
  <sheetViews>
    <sheetView workbookViewId="0">
      <selection activeCell="J7" sqref="J7"/>
    </sheetView>
  </sheetViews>
  <sheetFormatPr defaultColWidth="0" defaultRowHeight="0" customHeight="1" zeroHeight="1" x14ac:dyDescent="0.2"/>
  <cols>
    <col min="1" max="1" width="6.3203125" customWidth="1"/>
    <col min="2" max="2" width="6.05078125" style="5" bestFit="1" customWidth="1"/>
    <col min="3" max="3" width="9.81640625" style="10" bestFit="1" customWidth="1"/>
    <col min="4" max="4" width="5.24609375" style="10" bestFit="1" customWidth="1"/>
    <col min="5" max="5" width="17.75390625" style="10" bestFit="1" customWidth="1"/>
    <col min="6" max="6" width="25.69140625" style="11" customWidth="1"/>
    <col min="7" max="7" width="2.6875" style="42" customWidth="1"/>
    <col min="8" max="8" width="2.6875" customWidth="1"/>
    <col min="9" max="9" width="2.6875" style="42" customWidth="1"/>
    <col min="10" max="10" width="25.69140625" style="12" customWidth="1"/>
    <col min="11" max="11" width="13.31640625" style="51" hidden="1" customWidth="1"/>
    <col min="12" max="13" width="3.2265625" customWidth="1"/>
    <col min="14" max="14" width="2.82421875" style="1" customWidth="1"/>
    <col min="15" max="15" width="2.015625" style="109" bestFit="1" customWidth="1"/>
    <col min="16" max="16" width="26.09765625" style="113" customWidth="1"/>
    <col min="17" max="17" width="4.70703125" style="322" customWidth="1"/>
    <col min="18" max="18" width="3.765625" style="322" customWidth="1"/>
    <col min="19" max="19" width="1.8828125" style="322" customWidth="1"/>
    <col min="20" max="20" width="2.28515625" style="322" customWidth="1"/>
    <col min="21" max="21" width="3.765625" style="322" customWidth="1"/>
    <col min="22" max="22" width="2.015625" style="322" customWidth="1"/>
    <col min="23" max="24" width="3.765625" style="322" hidden="1" customWidth="1"/>
    <col min="25" max="25" width="12.9140625" style="1" customWidth="1"/>
    <col min="26" max="36" width="9.14453125" hidden="1" customWidth="1"/>
    <col min="37" max="37" width="8.47265625" hidden="1" customWidth="1"/>
    <col min="38" max="38" width="8.7421875" hidden="1" customWidth="1"/>
    <col min="39" max="39" width="10.0859375" hidden="1" customWidth="1"/>
    <col min="40" max="230" width="9.14453125" hidden="1" customWidth="1"/>
    <col min="231" max="231" width="7.26171875" hidden="1" customWidth="1"/>
    <col min="232" max="16384" width="9.14453125" hidden="1"/>
  </cols>
  <sheetData>
    <row r="1" spans="1:25" s="58" customFormat="1" ht="15" customHeight="1" x14ac:dyDescent="0.2">
      <c r="B1" s="496" t="s">
        <v>94</v>
      </c>
      <c r="C1" s="498" t="s">
        <v>95</v>
      </c>
      <c r="D1" s="498" t="s">
        <v>74</v>
      </c>
      <c r="E1" s="500" t="s">
        <v>75</v>
      </c>
      <c r="F1" s="487" t="s">
        <v>96</v>
      </c>
      <c r="G1" s="488"/>
      <c r="H1" s="488"/>
      <c r="I1" s="488"/>
      <c r="J1" s="489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 x14ac:dyDescent="0.25">
      <c r="B2" s="497"/>
      <c r="C2" s="499"/>
      <c r="D2" s="499"/>
      <c r="E2" s="501"/>
      <c r="F2" s="490"/>
      <c r="G2" s="491"/>
      <c r="H2" s="491"/>
      <c r="I2" s="491"/>
      <c r="J2" s="492"/>
      <c r="K2" s="51"/>
      <c r="L2" s="493"/>
      <c r="M2" s="494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 x14ac:dyDescent="0.25">
      <c r="A3" s="60" t="s">
        <v>284</v>
      </c>
      <c r="B3" s="48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439">
        <v>1</v>
      </c>
      <c r="H3" s="440" t="s">
        <v>0</v>
      </c>
      <c r="I3" s="458">
        <v>1</v>
      </c>
      <c r="J3" s="77" t="s">
        <v>142</v>
      </c>
      <c r="K3" s="52"/>
      <c r="L3" s="495">
        <f>IF(OR(Copa2022!F11="",G3=""),"",
IF(AND(Copa2022!F11=G3,Copa2022!H11=I3),Regras!$J$25,IF(Y3=Regras!F25,Regras!$J$26,0)))</f>
        <v>0</v>
      </c>
      <c r="M3" s="495"/>
      <c r="N3" s="318"/>
      <c r="O3" s="502" t="s">
        <v>220</v>
      </c>
      <c r="P3" s="526"/>
      <c r="Q3" s="324" t="str">
        <f>IF(Copa2022!F16="","",IF(Copa2022!O12=Andrea!P4,Regras!$J$27,0))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empate</v>
      </c>
    </row>
    <row r="4" spans="1:25" s="60" customFormat="1" ht="35.1" customHeight="1" x14ac:dyDescent="0.2">
      <c r="A4" s="60" t="s">
        <v>285</v>
      </c>
      <c r="B4" s="485"/>
      <c r="C4" s="171">
        <v>44886</v>
      </c>
      <c r="D4" s="194" t="s">
        <v>134</v>
      </c>
      <c r="E4" s="172" t="s">
        <v>157</v>
      </c>
      <c r="F4" s="78" t="s">
        <v>131</v>
      </c>
      <c r="G4" s="441">
        <v>0</v>
      </c>
      <c r="H4" s="442" t="s">
        <v>0</v>
      </c>
      <c r="I4" s="459">
        <v>3</v>
      </c>
      <c r="J4" s="81" t="s">
        <v>140</v>
      </c>
      <c r="K4" s="52"/>
      <c r="L4" s="495">
        <f>IF(OR(Copa2022!F12="",G4=""),"",
IF(AND(Copa2022!F12=G4,Copa2022!H12=I4),Regras!$J$25,IF(Y4=Regras!F26,Regras!$J$26,0)))</f>
        <v>5</v>
      </c>
      <c r="M4" s="495"/>
      <c r="N4" s="318"/>
      <c r="O4" s="450">
        <v>1</v>
      </c>
      <c r="P4" s="449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 x14ac:dyDescent="0.25">
      <c r="A5" s="60" t="s">
        <v>286</v>
      </c>
      <c r="B5" s="485"/>
      <c r="C5" s="171">
        <v>44890</v>
      </c>
      <c r="D5" s="194" t="s">
        <v>135</v>
      </c>
      <c r="E5" s="172" t="s">
        <v>157</v>
      </c>
      <c r="F5" s="78" t="s">
        <v>141</v>
      </c>
      <c r="G5" s="441">
        <v>1</v>
      </c>
      <c r="H5" s="442" t="s">
        <v>0</v>
      </c>
      <c r="I5" s="459">
        <v>0</v>
      </c>
      <c r="J5" s="81" t="s">
        <v>131</v>
      </c>
      <c r="K5" s="52"/>
      <c r="L5" s="495" t="str">
        <f>IF(OR(Copa2022!F13="",G5=""),"",
IF(AND(Copa2022!F13=G5,Copa2022!H13=I5),Regras!$J$25,IF(Y5=Regras!F27,Regras!$J$26,0)))</f>
        <v/>
      </c>
      <c r="M5" s="495"/>
      <c r="N5" s="318"/>
      <c r="O5" s="453">
        <v>2</v>
      </c>
      <c r="P5" s="454" t="s">
        <v>141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 x14ac:dyDescent="0.2">
      <c r="A6" s="60" t="s">
        <v>287</v>
      </c>
      <c r="B6" s="485"/>
      <c r="C6" s="171">
        <v>44890</v>
      </c>
      <c r="D6" s="194" t="s">
        <v>134</v>
      </c>
      <c r="E6" s="172" t="s">
        <v>143</v>
      </c>
      <c r="F6" s="78" t="s">
        <v>140</v>
      </c>
      <c r="G6" s="441">
        <v>1</v>
      </c>
      <c r="H6" s="442" t="s">
        <v>0</v>
      </c>
      <c r="I6" s="459">
        <v>0</v>
      </c>
      <c r="J6" s="81" t="s">
        <v>142</v>
      </c>
      <c r="K6" s="52"/>
      <c r="L6" s="495" t="str">
        <f>IF(OR(Copa2022!F14="",G6=""),"",
IF(AND(Copa2022!F14=G6,Copa2022!H14=I6),Regras!$J$25,IF(Y6=Regras!F28,Regras!$J$26,0)))</f>
        <v/>
      </c>
      <c r="M6" s="495"/>
      <c r="N6" s="318"/>
      <c r="O6" s="450">
        <v>3</v>
      </c>
      <c r="P6" s="449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 x14ac:dyDescent="0.25">
      <c r="A7" s="60" t="s">
        <v>288</v>
      </c>
      <c r="B7" s="485"/>
      <c r="C7" s="171">
        <v>44894</v>
      </c>
      <c r="D7" s="194" t="s">
        <v>132</v>
      </c>
      <c r="E7" s="172" t="s">
        <v>161</v>
      </c>
      <c r="F7" s="78" t="s">
        <v>140</v>
      </c>
      <c r="G7" s="441">
        <v>2</v>
      </c>
      <c r="H7" s="442" t="s">
        <v>0</v>
      </c>
      <c r="I7" s="459">
        <v>1</v>
      </c>
      <c r="J7" s="81" t="s">
        <v>141</v>
      </c>
      <c r="K7" s="52"/>
      <c r="L7" s="495" t="str">
        <f>IF(OR(Copa2022!F15="",G7=""),"",
IF(AND(Copa2022!F15=G7,Copa2022!H15=I7),Regras!$J$25,IF(Y7=Regras!F29,Regras!$J$26,0)))</f>
        <v/>
      </c>
      <c r="M7" s="495"/>
      <c r="N7" s="318"/>
      <c r="O7" s="451">
        <v>4</v>
      </c>
      <c r="P7" s="452" t="s">
        <v>131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 x14ac:dyDescent="0.25">
      <c r="A8" s="60" t="s">
        <v>289</v>
      </c>
      <c r="B8" s="486"/>
      <c r="C8" s="173">
        <v>44590</v>
      </c>
      <c r="D8" s="195" t="s">
        <v>132</v>
      </c>
      <c r="E8" s="174" t="s">
        <v>143</v>
      </c>
      <c r="F8" s="86" t="s">
        <v>142</v>
      </c>
      <c r="G8" s="445">
        <v>1</v>
      </c>
      <c r="H8" s="446" t="s">
        <v>0</v>
      </c>
      <c r="I8" s="460">
        <v>0</v>
      </c>
      <c r="J8" s="89" t="s">
        <v>131</v>
      </c>
      <c r="K8" s="52"/>
      <c r="L8" s="495" t="str">
        <f>IF(OR(Copa2022!F16="",G8=""),"",
IF(AND(Copa2022!F16=G8,Copa2022!H16=I8),Regras!$J$25,IF(Y8=Regras!F30,Regras!$J$26,0)))</f>
        <v/>
      </c>
      <c r="M8" s="495"/>
      <c r="N8" s="318"/>
      <c r="O8" s="457"/>
      <c r="P8" s="466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 x14ac:dyDescent="0.25">
      <c r="A9" s="60" t="s">
        <v>290</v>
      </c>
      <c r="B9" s="48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443">
        <v>2</v>
      </c>
      <c r="H9" s="444" t="s">
        <v>0</v>
      </c>
      <c r="I9" s="461">
        <v>0</v>
      </c>
      <c r="J9" s="85" t="s">
        <v>123</v>
      </c>
      <c r="K9" s="52"/>
      <c r="L9" s="495">
        <f>IF(OR(Copa2022!F17="",G9=""),"",
IF(AND(Copa2022!F17=G9,Copa2022!H17=I9),Regras!$J$25,IF(Y9=Regras!F31,Regras!$J$26,0)))</f>
        <v>5</v>
      </c>
      <c r="M9" s="495"/>
      <c r="N9" s="318"/>
      <c r="O9" s="502" t="s">
        <v>48</v>
      </c>
      <c r="P9" s="503"/>
      <c r="Q9" s="324" t="str">
        <f>IF(Copa2022!F22="","",IF(Copa2022!O18=Andrea!P10,Regras!$J$27,0))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 x14ac:dyDescent="0.2">
      <c r="A10" s="60" t="s">
        <v>291</v>
      </c>
      <c r="B10" s="485"/>
      <c r="C10" s="171">
        <v>44886</v>
      </c>
      <c r="D10" s="194" t="s">
        <v>136</v>
      </c>
      <c r="E10" s="177" t="s">
        <v>162</v>
      </c>
      <c r="F10" s="78" t="s">
        <v>145</v>
      </c>
      <c r="G10" s="441">
        <v>3</v>
      </c>
      <c r="H10" s="442" t="s">
        <v>0</v>
      </c>
      <c r="I10" s="459">
        <v>0</v>
      </c>
      <c r="J10" s="81" t="s">
        <v>158</v>
      </c>
      <c r="K10" s="52"/>
      <c r="L10" s="495">
        <f>IF(OR(Copa2022!F18="",G10=""),"",
IF(AND(Copa2022!F18=G10,Copa2022!H18=I10),Regras!$J$25,IF(Y10=Regras!F32,Regras!$J$26,0)))</f>
        <v>0</v>
      </c>
      <c r="M10" s="495"/>
      <c r="N10" s="318"/>
      <c r="O10" s="450">
        <v>1</v>
      </c>
      <c r="P10" s="449" t="s">
        <v>145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Estados Unidos</v>
      </c>
    </row>
    <row r="11" spans="1:25" s="60" customFormat="1" ht="35.1" customHeight="1" thickBot="1" x14ac:dyDescent="0.25">
      <c r="A11" s="60" t="s">
        <v>292</v>
      </c>
      <c r="B11" s="485"/>
      <c r="C11" s="171">
        <v>44890</v>
      </c>
      <c r="D11" s="194" t="s">
        <v>133</v>
      </c>
      <c r="E11" s="177" t="s">
        <v>162</v>
      </c>
      <c r="F11" s="78" t="s">
        <v>158</v>
      </c>
      <c r="G11" s="441">
        <v>0</v>
      </c>
      <c r="H11" s="442" t="s">
        <v>0</v>
      </c>
      <c r="I11" s="459">
        <v>0</v>
      </c>
      <c r="J11" s="81" t="s">
        <v>123</v>
      </c>
      <c r="K11" s="52"/>
      <c r="L11" s="495" t="str">
        <f>IF(OR(Copa2022!F19="",G11=""),"",
IF(AND(Copa2022!F19=G11,Copa2022!H19=I11),Regras!$J$25,IF(Y11=Regras!F33,Regras!$J$26,0)))</f>
        <v/>
      </c>
      <c r="M11" s="495"/>
      <c r="N11" s="318"/>
      <c r="O11" s="453">
        <v>2</v>
      </c>
      <c r="P11" s="454" t="s">
        <v>6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 x14ac:dyDescent="0.2">
      <c r="A12" s="60" t="s">
        <v>293</v>
      </c>
      <c r="B12" s="485"/>
      <c r="C12" s="171">
        <v>44890</v>
      </c>
      <c r="D12" s="194" t="s">
        <v>136</v>
      </c>
      <c r="E12" s="177" t="s">
        <v>161</v>
      </c>
      <c r="F12" s="78" t="s">
        <v>6</v>
      </c>
      <c r="G12" s="441">
        <v>1</v>
      </c>
      <c r="H12" s="442" t="s">
        <v>0</v>
      </c>
      <c r="I12" s="459">
        <v>1</v>
      </c>
      <c r="J12" s="81" t="s">
        <v>145</v>
      </c>
      <c r="K12" s="52"/>
      <c r="L12" s="495" t="str">
        <f>IF(OR(Copa2022!F20="",G12=""),"",
IF(AND(Copa2022!F20=G12,Copa2022!H20=I12),Regras!$J$25,IF(Y12=Regras!F34,Regras!$J$26,0)))</f>
        <v/>
      </c>
      <c r="M12" s="495"/>
      <c r="N12" s="318"/>
      <c r="O12" s="450">
        <v>3</v>
      </c>
      <c r="P12" s="449" t="s">
        <v>123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 x14ac:dyDescent="0.25">
      <c r="A13" s="60" t="s">
        <v>294</v>
      </c>
      <c r="B13" s="485"/>
      <c r="C13" s="171">
        <v>44894</v>
      </c>
      <c r="D13" s="194" t="s">
        <v>136</v>
      </c>
      <c r="E13" s="177" t="s">
        <v>162</v>
      </c>
      <c r="F13" s="78" t="s">
        <v>158</v>
      </c>
      <c r="G13" s="441">
        <v>0</v>
      </c>
      <c r="H13" s="442" t="s">
        <v>0</v>
      </c>
      <c r="I13" s="459">
        <v>2</v>
      </c>
      <c r="J13" s="81" t="s">
        <v>6</v>
      </c>
      <c r="K13" s="52"/>
      <c r="L13" s="495" t="str">
        <f>IF(OR(Copa2022!F21="",G13=""),"",
IF(AND(Copa2022!F21=G13,Copa2022!H21=I13),Regras!$J$25,IF(Y13=Regras!F35,Regras!$J$26,0)))</f>
        <v/>
      </c>
      <c r="M13" s="495"/>
      <c r="N13" s="318"/>
      <c r="O13" s="451">
        <v>4</v>
      </c>
      <c r="P13" s="452" t="s">
        <v>158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 x14ac:dyDescent="0.25">
      <c r="A14" s="60" t="s">
        <v>295</v>
      </c>
      <c r="B14" s="486"/>
      <c r="C14" s="173">
        <v>44894</v>
      </c>
      <c r="D14" s="195" t="s">
        <v>136</v>
      </c>
      <c r="E14" s="178" t="s">
        <v>157</v>
      </c>
      <c r="F14" s="90" t="s">
        <v>123</v>
      </c>
      <c r="G14" s="447">
        <v>0</v>
      </c>
      <c r="H14" s="448" t="s">
        <v>0</v>
      </c>
      <c r="I14" s="462">
        <v>2</v>
      </c>
      <c r="J14" s="93" t="s">
        <v>145</v>
      </c>
      <c r="K14" s="52"/>
      <c r="L14" s="495" t="str">
        <f>IF(OR(Copa2022!F22="",G14=""),"",
IF(AND(Copa2022!F22=G14,Copa2022!H22=I14),Regras!$J$25,IF(Y14=Regras!F36,Regras!$J$26,0)))</f>
        <v/>
      </c>
      <c r="M14" s="495"/>
      <c r="N14" s="318"/>
      <c r="O14" s="438"/>
      <c r="P14" s="449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 x14ac:dyDescent="0.25">
      <c r="A15" s="60" t="s">
        <v>296</v>
      </c>
      <c r="B15" s="48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439">
        <v>1</v>
      </c>
      <c r="H15" s="440" t="s">
        <v>0</v>
      </c>
      <c r="I15" s="458">
        <v>0</v>
      </c>
      <c r="J15" s="77" t="s">
        <v>125</v>
      </c>
      <c r="K15" s="52"/>
      <c r="L15" s="495">
        <f>IF(OR(Copa2022!F23="",G15=""),"",
IF(AND(Copa2022!F23=G15,Copa2022!H23=I15),Regras!$J$25,IF(Y15=Regras!F37,Regras!$J$26,0)))</f>
        <v>0</v>
      </c>
      <c r="M15" s="495"/>
      <c r="N15" s="318"/>
      <c r="O15" s="502" t="s">
        <v>50</v>
      </c>
      <c r="P15" s="503"/>
      <c r="Q15" s="324" t="str">
        <f>IF(Copa2022!F28="","",IF(Copa2022!O24=Andrea!P16,Regras!$J$27,0))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 x14ac:dyDescent="0.2">
      <c r="A16" s="60" t="s">
        <v>297</v>
      </c>
      <c r="B16" s="485"/>
      <c r="C16" s="171">
        <v>44887</v>
      </c>
      <c r="D16" s="194" t="s">
        <v>134</v>
      </c>
      <c r="E16" s="172" t="s">
        <v>163</v>
      </c>
      <c r="F16" s="78" t="s">
        <v>1</v>
      </c>
      <c r="G16" s="441">
        <v>1</v>
      </c>
      <c r="H16" s="442" t="s">
        <v>0</v>
      </c>
      <c r="I16" s="459">
        <v>1</v>
      </c>
      <c r="J16" s="81" t="s">
        <v>130</v>
      </c>
      <c r="K16" s="52"/>
      <c r="L16" s="495">
        <f>IF(OR(Copa2022!F24="",G16=""),"",
IF(AND(Copa2022!F24=G16,Copa2022!H24=I16),Regras!$J$25,IF(Y16=Regras!F38,Regras!$J$26,0)))</f>
        <v>5</v>
      </c>
      <c r="M16" s="495"/>
      <c r="N16" s="318"/>
      <c r="O16" s="450">
        <v>1</v>
      </c>
      <c r="P16" s="449" t="s">
        <v>1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empate</v>
      </c>
    </row>
    <row r="17" spans="1:25" s="60" customFormat="1" ht="35.1" customHeight="1" thickBot="1" x14ac:dyDescent="0.25">
      <c r="A17" s="60" t="s">
        <v>298</v>
      </c>
      <c r="B17" s="485"/>
      <c r="C17" s="171">
        <v>44891</v>
      </c>
      <c r="D17" s="194" t="s">
        <v>135</v>
      </c>
      <c r="E17" s="172" t="s">
        <v>148</v>
      </c>
      <c r="F17" s="78" t="s">
        <v>130</v>
      </c>
      <c r="G17" s="441">
        <v>0</v>
      </c>
      <c r="H17" s="442" t="s">
        <v>0</v>
      </c>
      <c r="I17" s="459">
        <v>0</v>
      </c>
      <c r="J17" s="81" t="s">
        <v>125</v>
      </c>
      <c r="K17" s="52"/>
      <c r="L17" s="495" t="str">
        <f>IF(OR(Copa2022!F25="",G17=""),"",
IF(AND(Copa2022!F25=G17,Copa2022!H25=I17),Regras!$J$25,IF(Y17=Regras!F39,Regras!$J$26,0)))</f>
        <v/>
      </c>
      <c r="M17" s="495"/>
      <c r="N17" s="318"/>
      <c r="O17" s="453">
        <v>2</v>
      </c>
      <c r="P17" s="454" t="s">
        <v>4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 x14ac:dyDescent="0.2">
      <c r="A18" s="60" t="s">
        <v>299</v>
      </c>
      <c r="B18" s="485"/>
      <c r="C18" s="171">
        <v>44891</v>
      </c>
      <c r="D18" s="194" t="s">
        <v>136</v>
      </c>
      <c r="E18" s="172" t="s">
        <v>146</v>
      </c>
      <c r="F18" s="78" t="s">
        <v>4</v>
      </c>
      <c r="G18" s="441">
        <v>2</v>
      </c>
      <c r="H18" s="442" t="s">
        <v>0</v>
      </c>
      <c r="I18" s="459">
        <v>2</v>
      </c>
      <c r="J18" s="81" t="s">
        <v>1</v>
      </c>
      <c r="K18" s="52"/>
      <c r="L18" s="495" t="str">
        <f>IF(OR(Copa2022!F26="",G18=""),"",
IF(AND(Copa2022!F26=G18,Copa2022!H26=I18),Regras!$J$25,IF(Y18=Regras!F40,Regras!$J$26,0)))</f>
        <v/>
      </c>
      <c r="M18" s="495"/>
      <c r="N18" s="318"/>
      <c r="O18" s="450">
        <v>3</v>
      </c>
      <c r="P18" s="449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 x14ac:dyDescent="0.25">
      <c r="A19" s="60" t="s">
        <v>300</v>
      </c>
      <c r="B19" s="485"/>
      <c r="C19" s="171">
        <v>44895</v>
      </c>
      <c r="D19" s="194" t="s">
        <v>136</v>
      </c>
      <c r="E19" s="172" t="s">
        <v>163</v>
      </c>
      <c r="F19" s="78" t="s">
        <v>130</v>
      </c>
      <c r="G19" s="441">
        <v>1</v>
      </c>
      <c r="H19" s="442" t="s">
        <v>0</v>
      </c>
      <c r="I19" s="459">
        <v>1</v>
      </c>
      <c r="J19" s="81" t="s">
        <v>4</v>
      </c>
      <c r="K19" s="52"/>
      <c r="L19" s="495" t="str">
        <f>IF(OR(Copa2022!F27="",G19=""),"",
IF(AND(Copa2022!F27=G19,Copa2022!H27=I19),Regras!$J$25,IF(Y19=Regras!F41,Regras!$J$26,0)))</f>
        <v/>
      </c>
      <c r="M19" s="495"/>
      <c r="N19" s="318"/>
      <c r="O19" s="451">
        <v>4</v>
      </c>
      <c r="P19" s="452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 x14ac:dyDescent="0.25">
      <c r="A20" s="60" t="s">
        <v>301</v>
      </c>
      <c r="B20" s="486"/>
      <c r="C20" s="173">
        <v>44895</v>
      </c>
      <c r="D20" s="195" t="s">
        <v>136</v>
      </c>
      <c r="E20" s="174" t="s">
        <v>146</v>
      </c>
      <c r="F20" s="86" t="s">
        <v>125</v>
      </c>
      <c r="G20" s="445">
        <v>1</v>
      </c>
      <c r="H20" s="446" t="s">
        <v>0</v>
      </c>
      <c r="I20" s="460">
        <v>2</v>
      </c>
      <c r="J20" s="89" t="s">
        <v>1</v>
      </c>
      <c r="K20" s="52"/>
      <c r="L20" s="495" t="str">
        <f>IF(OR(Copa2022!F28="",G20=""),"",
IF(AND(Copa2022!F28=G20,Copa2022!H28=I20),Regras!$J$25,IF(Y20=Regras!F42,Regras!$J$26,0)))</f>
        <v/>
      </c>
      <c r="M20" s="495"/>
      <c r="N20" s="318"/>
      <c r="O20" s="438"/>
      <c r="P20" s="449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 x14ac:dyDescent="0.25">
      <c r="A21" s="60" t="s">
        <v>302</v>
      </c>
      <c r="B21" s="48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443">
        <v>1</v>
      </c>
      <c r="H21" s="444" t="s">
        <v>0</v>
      </c>
      <c r="I21" s="461">
        <v>1</v>
      </c>
      <c r="J21" s="85" t="s">
        <v>129</v>
      </c>
      <c r="K21" s="52"/>
      <c r="L21" s="495">
        <f>IF(OR(Copa2022!F29="",G21=""),"",
IF(AND(Copa2022!F29=G21,Copa2022!H29=I21),Regras!$J$25,IF(Y21=Regras!F43,Regras!$J$26,0)))</f>
        <v>5</v>
      </c>
      <c r="M21" s="495"/>
      <c r="N21" s="318"/>
      <c r="O21" s="502" t="s">
        <v>51</v>
      </c>
      <c r="P21" s="503"/>
      <c r="Q21" s="324" t="str">
        <f>IF(Copa2022!F34="","",IF(Copa2022!O30=Andrea!P22,Regras!$J$27,0))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empate</v>
      </c>
    </row>
    <row r="22" spans="1:25" s="60" customFormat="1" ht="35.1" customHeight="1" x14ac:dyDescent="0.2">
      <c r="A22" s="60" t="s">
        <v>303</v>
      </c>
      <c r="B22" s="485"/>
      <c r="C22" s="171">
        <v>44887</v>
      </c>
      <c r="D22" s="194" t="s">
        <v>136</v>
      </c>
      <c r="E22" s="177" t="s">
        <v>164</v>
      </c>
      <c r="F22" s="78" t="s">
        <v>3</v>
      </c>
      <c r="G22" s="441">
        <v>2</v>
      </c>
      <c r="H22" s="442" t="s">
        <v>0</v>
      </c>
      <c r="I22" s="459">
        <v>1</v>
      </c>
      <c r="J22" s="81" t="s">
        <v>159</v>
      </c>
      <c r="K22" s="52"/>
      <c r="L22" s="495">
        <f>IF(OR(Copa2022!F30="",G22=""),"",
IF(AND(Copa2022!F30=G22,Copa2022!H30=I22),Regras!$J$25,IF(Y22=Regras!F44,Regras!$J$26,0)))</f>
        <v>5</v>
      </c>
      <c r="M22" s="495"/>
      <c r="N22" s="318"/>
      <c r="O22" s="450">
        <v>1</v>
      </c>
      <c r="P22" s="449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 x14ac:dyDescent="0.25">
      <c r="A23" s="60" t="s">
        <v>304</v>
      </c>
      <c r="B23" s="485"/>
      <c r="C23" s="171">
        <v>44891</v>
      </c>
      <c r="D23" s="194" t="s">
        <v>133</v>
      </c>
      <c r="E23" s="177" t="s">
        <v>164</v>
      </c>
      <c r="F23" s="78" t="s">
        <v>129</v>
      </c>
      <c r="G23" s="441">
        <v>0</v>
      </c>
      <c r="H23" s="442" t="s">
        <v>0</v>
      </c>
      <c r="I23" s="459">
        <v>1</v>
      </c>
      <c r="J23" s="81" t="s">
        <v>159</v>
      </c>
      <c r="K23" s="52"/>
      <c r="L23" s="495" t="str">
        <f>IF(OR(Copa2022!F31="",G23=""),"",
IF(AND(Copa2022!F31=G23,Copa2022!H31=I23),Regras!$J$25,IF(Y23=Regras!F45,Regras!$J$26,0)))</f>
        <v/>
      </c>
      <c r="M23" s="495"/>
      <c r="N23" s="318"/>
      <c r="O23" s="453">
        <v>2</v>
      </c>
      <c r="P23" s="454" t="s">
        <v>159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 x14ac:dyDescent="0.2">
      <c r="A24" s="60" t="s">
        <v>305</v>
      </c>
      <c r="B24" s="485"/>
      <c r="C24" s="171">
        <v>44891</v>
      </c>
      <c r="D24" s="194" t="s">
        <v>134</v>
      </c>
      <c r="E24" s="177" t="s">
        <v>163</v>
      </c>
      <c r="F24" s="78" t="s">
        <v>3</v>
      </c>
      <c r="G24" s="441">
        <v>2</v>
      </c>
      <c r="H24" s="442" t="s">
        <v>0</v>
      </c>
      <c r="I24" s="459">
        <v>0</v>
      </c>
      <c r="J24" s="81" t="s">
        <v>127</v>
      </c>
      <c r="K24" s="52"/>
      <c r="L24" s="495" t="str">
        <f>IF(OR(Copa2022!F32="",G24=""),"",
IF(AND(Copa2022!F32=G24,Copa2022!H32=I24),Regras!$J$25,IF(Y24=Regras!F46,Regras!$J$26,0)))</f>
        <v/>
      </c>
      <c r="M24" s="495"/>
      <c r="N24" s="318"/>
      <c r="O24" s="450">
        <v>3</v>
      </c>
      <c r="P24" s="449" t="s">
        <v>127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 x14ac:dyDescent="0.25">
      <c r="A25" s="60" t="s">
        <v>306</v>
      </c>
      <c r="B25" s="485"/>
      <c r="C25" s="171">
        <v>44895</v>
      </c>
      <c r="D25" s="194" t="s">
        <v>132</v>
      </c>
      <c r="E25" s="177" t="s">
        <v>148</v>
      </c>
      <c r="F25" s="78" t="s">
        <v>129</v>
      </c>
      <c r="G25" s="441">
        <v>0</v>
      </c>
      <c r="H25" s="442" t="s">
        <v>0</v>
      </c>
      <c r="I25" s="459">
        <v>1</v>
      </c>
      <c r="J25" s="81" t="s">
        <v>3</v>
      </c>
      <c r="K25" s="52"/>
      <c r="L25" s="495" t="str">
        <f>IF(OR(Copa2022!F33="",G25=""),"",
IF(AND(Copa2022!F33=G25,Copa2022!H33=I25),Regras!$J$25,IF(Y25=Regras!F47,Regras!$J$26,0)))</f>
        <v/>
      </c>
      <c r="M25" s="495"/>
      <c r="N25" s="318"/>
      <c r="O25" s="451">
        <v>4</v>
      </c>
      <c r="P25" s="452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 x14ac:dyDescent="0.25">
      <c r="A26" s="60" t="s">
        <v>307</v>
      </c>
      <c r="B26" s="486"/>
      <c r="C26" s="173">
        <v>44895</v>
      </c>
      <c r="D26" s="195" t="s">
        <v>132</v>
      </c>
      <c r="E26" s="178" t="s">
        <v>164</v>
      </c>
      <c r="F26" s="90" t="s">
        <v>159</v>
      </c>
      <c r="G26" s="447">
        <v>1</v>
      </c>
      <c r="H26" s="448" t="s">
        <v>0</v>
      </c>
      <c r="I26" s="462">
        <v>1</v>
      </c>
      <c r="J26" s="93" t="s">
        <v>127</v>
      </c>
      <c r="K26" s="52"/>
      <c r="L26" s="495" t="str">
        <f>IF(OR(Copa2022!F34="",G26=""),"",
IF(AND(Copa2022!F34=G26,Copa2022!H34=I26),Regras!$J$25,IF(Y26=Regras!F48,Regras!$J$26,0)))</f>
        <v/>
      </c>
      <c r="M26" s="495"/>
      <c r="N26" s="318"/>
      <c r="O26" s="438"/>
      <c r="P26" s="449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 x14ac:dyDescent="0.25">
      <c r="A27" s="60" t="s">
        <v>308</v>
      </c>
      <c r="B27" s="48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439">
        <v>2</v>
      </c>
      <c r="H27" s="440" t="s">
        <v>0</v>
      </c>
      <c r="I27" s="458">
        <v>1</v>
      </c>
      <c r="J27" s="77" t="s">
        <v>8</v>
      </c>
      <c r="K27" s="52"/>
      <c r="L27" s="495" t="str">
        <f>IF(OR(Copa2022!F35="",G27=""),"",
IF(AND(Copa2022!F35=G27,Copa2022!H35=I27),Regras!$J$25,IF(Y27=Regras!F49,Regras!$J$26,0)))</f>
        <v/>
      </c>
      <c r="M27" s="495"/>
      <c r="N27" s="318"/>
      <c r="O27" s="502" t="s">
        <v>53</v>
      </c>
      <c r="P27" s="503"/>
      <c r="Q27" s="324" t="str">
        <f>IF(Copa2022!F40="","",IF(Copa2022!O36=Andrea!P28,Regras!$J$27,0))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 x14ac:dyDescent="0.2">
      <c r="A28" s="60" t="s">
        <v>309</v>
      </c>
      <c r="B28" s="485"/>
      <c r="C28" s="171">
        <v>44888</v>
      </c>
      <c r="D28" s="194" t="s">
        <v>134</v>
      </c>
      <c r="E28" s="172" t="s">
        <v>157</v>
      </c>
      <c r="F28" s="78" t="s">
        <v>11</v>
      </c>
      <c r="G28" s="441">
        <v>1</v>
      </c>
      <c r="H28" s="442" t="s">
        <v>0</v>
      </c>
      <c r="I28" s="459">
        <v>0</v>
      </c>
      <c r="J28" s="81" t="s">
        <v>160</v>
      </c>
      <c r="K28" s="52"/>
      <c r="L28" s="495" t="str">
        <f>IF(OR(Copa2022!F36="",G28=""),"",
IF(AND(Copa2022!F36=G28,Copa2022!H36=I28),Regras!$J$25,IF(Y28=Regras!F50,Regras!$J$26,0)))</f>
        <v/>
      </c>
      <c r="M28" s="495"/>
      <c r="N28" s="318"/>
      <c r="O28" s="450">
        <v>1</v>
      </c>
      <c r="P28" s="449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 x14ac:dyDescent="0.25">
      <c r="A29" s="60" t="s">
        <v>310</v>
      </c>
      <c r="B29" s="485"/>
      <c r="C29" s="171">
        <v>44892</v>
      </c>
      <c r="D29" s="194" t="s">
        <v>133</v>
      </c>
      <c r="E29" s="172" t="s">
        <v>162</v>
      </c>
      <c r="F29" s="78" t="s">
        <v>8</v>
      </c>
      <c r="G29" s="441">
        <v>1</v>
      </c>
      <c r="H29" s="442" t="s">
        <v>0</v>
      </c>
      <c r="I29" s="459">
        <v>1</v>
      </c>
      <c r="J29" s="81" t="s">
        <v>160</v>
      </c>
      <c r="K29" s="52"/>
      <c r="L29" s="495" t="str">
        <f>IF(OR(Copa2022!F37="",G29=""),"",
IF(AND(Copa2022!F37=G29,Copa2022!H37=I29),Regras!$J$25,IF(Y29=Regras!F51,Regras!$J$26,0)))</f>
        <v/>
      </c>
      <c r="M29" s="495"/>
      <c r="N29" s="318"/>
      <c r="O29" s="453">
        <v>2</v>
      </c>
      <c r="P29" s="454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 x14ac:dyDescent="0.2">
      <c r="A30" s="60" t="s">
        <v>311</v>
      </c>
      <c r="B30" s="485"/>
      <c r="C30" s="171">
        <v>44892</v>
      </c>
      <c r="D30" s="194" t="s">
        <v>136</v>
      </c>
      <c r="E30" s="172" t="s">
        <v>161</v>
      </c>
      <c r="F30" s="78" t="s">
        <v>11</v>
      </c>
      <c r="G30" s="441">
        <v>1</v>
      </c>
      <c r="H30" s="442" t="s">
        <v>0</v>
      </c>
      <c r="I30" s="459">
        <v>1</v>
      </c>
      <c r="J30" s="81" t="s">
        <v>7</v>
      </c>
      <c r="K30" s="52"/>
      <c r="L30" s="495" t="str">
        <f>IF(OR(Copa2022!F38="",G30=""),"",
IF(AND(Copa2022!F38=G30,Copa2022!H38=I30),Regras!$J$25,IF(Y30=Regras!F52,Regras!$J$26,0)))</f>
        <v/>
      </c>
      <c r="M30" s="495"/>
      <c r="N30" s="318"/>
      <c r="O30" s="450">
        <v>3</v>
      </c>
      <c r="P30" s="449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 x14ac:dyDescent="0.25">
      <c r="A31" s="60" t="s">
        <v>312</v>
      </c>
      <c r="B31" s="485"/>
      <c r="C31" s="171">
        <v>44896</v>
      </c>
      <c r="D31" s="194" t="s">
        <v>136</v>
      </c>
      <c r="E31" s="172" t="s">
        <v>143</v>
      </c>
      <c r="F31" s="78" t="s">
        <v>8</v>
      </c>
      <c r="G31" s="441">
        <v>0</v>
      </c>
      <c r="H31" s="442" t="s">
        <v>0</v>
      </c>
      <c r="I31" s="459">
        <v>1</v>
      </c>
      <c r="J31" s="81" t="s">
        <v>11</v>
      </c>
      <c r="K31" s="52"/>
      <c r="L31" s="495" t="str">
        <f>IF(OR(Copa2022!F39="",G31=""),"",
IF(AND(Copa2022!F39=G31,Copa2022!H39=I31),Regras!$J$25,IF(Y31=Regras!F53,Regras!$J$26,0)))</f>
        <v/>
      </c>
      <c r="M31" s="495"/>
      <c r="N31" s="318"/>
      <c r="O31" s="451">
        <v>4</v>
      </c>
      <c r="P31" s="452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 x14ac:dyDescent="0.25">
      <c r="A32" s="60" t="s">
        <v>313</v>
      </c>
      <c r="B32" s="486"/>
      <c r="C32" s="173">
        <v>44896</v>
      </c>
      <c r="D32" s="195" t="s">
        <v>136</v>
      </c>
      <c r="E32" s="174" t="s">
        <v>161</v>
      </c>
      <c r="F32" s="86" t="s">
        <v>160</v>
      </c>
      <c r="G32" s="445">
        <v>0</v>
      </c>
      <c r="H32" s="446" t="s">
        <v>0</v>
      </c>
      <c r="I32" s="460">
        <v>2</v>
      </c>
      <c r="J32" s="89" t="s">
        <v>7</v>
      </c>
      <c r="K32" s="52"/>
      <c r="L32" s="495" t="str">
        <f>IF(OR(Copa2022!F40="",G32=""),"",
IF(AND(Copa2022!F40=G32,Copa2022!H40=I32),Regras!$J$25,IF(Y32=Regras!F54,Regras!$J$26,0)))</f>
        <v/>
      </c>
      <c r="M32" s="495"/>
      <c r="N32" s="318"/>
      <c r="O32" s="438"/>
      <c r="P32" s="449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 x14ac:dyDescent="0.25">
      <c r="A33" s="60" t="s">
        <v>314</v>
      </c>
      <c r="B33" s="48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443">
        <v>0</v>
      </c>
      <c r="H33" s="444" t="s">
        <v>0</v>
      </c>
      <c r="I33" s="461">
        <v>0</v>
      </c>
      <c r="J33" s="85" t="s">
        <v>70</v>
      </c>
      <c r="K33" s="52"/>
      <c r="L33" s="495" t="str">
        <f>IF(OR(Copa2022!F41="",G33=""),"",
IF(AND(Copa2022!F41=G33,Copa2022!H41=I33),Regras!$J$25,IF(Y33=Regras!F55,Regras!$J$26,0)))</f>
        <v/>
      </c>
      <c r="M33" s="495"/>
      <c r="N33" s="318"/>
      <c r="O33" s="502" t="s">
        <v>56</v>
      </c>
      <c r="P33" s="503"/>
      <c r="Q33" s="324" t="str">
        <f>IF(Copa2022!F46="","",IF(Copa2022!O42=Andrea!P34,Regras!$J$27,0))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/>
      </c>
    </row>
    <row r="34" spans="1:25" s="60" customFormat="1" ht="35.1" customHeight="1" x14ac:dyDescent="0.2">
      <c r="A34" s="60" t="s">
        <v>315</v>
      </c>
      <c r="B34" s="485"/>
      <c r="C34" s="171">
        <v>44888</v>
      </c>
      <c r="D34" s="194" t="s">
        <v>136</v>
      </c>
      <c r="E34" s="177" t="s">
        <v>162</v>
      </c>
      <c r="F34" s="78" t="s">
        <v>104</v>
      </c>
      <c r="G34" s="441">
        <v>1</v>
      </c>
      <c r="H34" s="442" t="s">
        <v>0</v>
      </c>
      <c r="I34" s="459">
        <v>0</v>
      </c>
      <c r="J34" s="81" t="s">
        <v>150</v>
      </c>
      <c r="K34" s="52"/>
      <c r="L34" s="495" t="str">
        <f>IF(OR(Copa2022!F42="",G34=""),"",
IF(AND(Copa2022!F42=G34,Copa2022!H42=I34),Regras!$J$25,IF(Y34=Regras!F56,Regras!$J$26,0)))</f>
        <v/>
      </c>
      <c r="M34" s="495"/>
      <c r="N34" s="318"/>
      <c r="O34" s="450">
        <v>1</v>
      </c>
      <c r="P34" s="449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 x14ac:dyDescent="0.25">
      <c r="A35" s="60" t="s">
        <v>316</v>
      </c>
      <c r="B35" s="485"/>
      <c r="C35" s="171">
        <v>44892</v>
      </c>
      <c r="D35" s="194" t="s">
        <v>135</v>
      </c>
      <c r="E35" s="177" t="s">
        <v>157</v>
      </c>
      <c r="F35" s="78" t="s">
        <v>104</v>
      </c>
      <c r="G35" s="441">
        <v>0</v>
      </c>
      <c r="H35" s="442" t="s">
        <v>0</v>
      </c>
      <c r="I35" s="459">
        <v>0</v>
      </c>
      <c r="J35" s="81" t="s">
        <v>126</v>
      </c>
      <c r="K35" s="52"/>
      <c r="L35" s="495" t="str">
        <f>IF(OR(Copa2022!F43="",G35=""),"",
IF(AND(Copa2022!F43=G35,Copa2022!H43=I35),Regras!$J$25,IF(Y35=Regras!F57,Regras!$J$26,0)))</f>
        <v/>
      </c>
      <c r="M35" s="495"/>
      <c r="N35" s="318"/>
      <c r="O35" s="453">
        <v>2</v>
      </c>
      <c r="P35" s="454" t="s">
        <v>150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 x14ac:dyDescent="0.2">
      <c r="A36" s="60" t="s">
        <v>317</v>
      </c>
      <c r="B36" s="485"/>
      <c r="C36" s="171">
        <v>44892</v>
      </c>
      <c r="D36" s="194" t="s">
        <v>134</v>
      </c>
      <c r="E36" s="177" t="s">
        <v>143</v>
      </c>
      <c r="F36" s="78" t="s">
        <v>70</v>
      </c>
      <c r="G36" s="441">
        <v>0</v>
      </c>
      <c r="H36" s="442" t="s">
        <v>0</v>
      </c>
      <c r="I36" s="459">
        <v>1</v>
      </c>
      <c r="J36" s="81" t="s">
        <v>150</v>
      </c>
      <c r="K36" s="52"/>
      <c r="L36" s="495" t="str">
        <f>IF(OR(Copa2022!F44="",G36=""),"",
IF(AND(Copa2022!F44=G36,Copa2022!H44=I36),Regras!$J$25,IF(Y36=Regras!F58,Regras!$J$26,0)))</f>
        <v/>
      </c>
      <c r="M36" s="495"/>
      <c r="N36" s="318"/>
      <c r="O36" s="450">
        <v>3</v>
      </c>
      <c r="P36" s="449" t="s">
        <v>126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 x14ac:dyDescent="0.25">
      <c r="A37" s="60" t="s">
        <v>318</v>
      </c>
      <c r="B37" s="485"/>
      <c r="C37" s="171">
        <v>44896</v>
      </c>
      <c r="D37" s="194" t="s">
        <v>132</v>
      </c>
      <c r="E37" s="177" t="s">
        <v>162</v>
      </c>
      <c r="F37" s="78" t="s">
        <v>70</v>
      </c>
      <c r="G37" s="441">
        <v>0</v>
      </c>
      <c r="H37" s="442" t="s">
        <v>0</v>
      </c>
      <c r="I37" s="459">
        <v>1</v>
      </c>
      <c r="J37" s="81" t="s">
        <v>104</v>
      </c>
      <c r="K37" s="52"/>
      <c r="L37" s="495" t="str">
        <f>IF(OR(Copa2022!F45="",G37=""),"",
IF(AND(Copa2022!F45=G37,Copa2022!H45=I37),Regras!$J$25,IF(Y37=Regras!F59,Regras!$J$26,0)))</f>
        <v/>
      </c>
      <c r="M37" s="495"/>
      <c r="N37" s="318"/>
      <c r="O37" s="451">
        <v>4</v>
      </c>
      <c r="P37" s="452" t="s">
        <v>70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 x14ac:dyDescent="0.25">
      <c r="A38" s="60" t="s">
        <v>319</v>
      </c>
      <c r="B38" s="486"/>
      <c r="C38" s="173">
        <v>44896</v>
      </c>
      <c r="D38" s="195" t="s">
        <v>132</v>
      </c>
      <c r="E38" s="178" t="s">
        <v>157</v>
      </c>
      <c r="F38" s="90" t="s">
        <v>150</v>
      </c>
      <c r="G38" s="447">
        <v>2</v>
      </c>
      <c r="H38" s="448" t="s">
        <v>0</v>
      </c>
      <c r="I38" s="462">
        <v>0</v>
      </c>
      <c r="J38" s="93" t="s">
        <v>126</v>
      </c>
      <c r="K38" s="52"/>
      <c r="L38" s="495" t="str">
        <f>IF(OR(Copa2022!F46="",G38=""),"",
IF(AND(Copa2022!F46=G38,Copa2022!H46=I38),Regras!$J$25,IF(Y38=Regras!F60,Regras!$J$26,0)))</f>
        <v/>
      </c>
      <c r="M38" s="495"/>
      <c r="N38" s="318"/>
      <c r="O38" s="438"/>
      <c r="P38" s="449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 x14ac:dyDescent="0.25">
      <c r="A39" s="60" t="s">
        <v>320</v>
      </c>
      <c r="B39" s="48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439">
        <v>1</v>
      </c>
      <c r="H39" s="440" t="s">
        <v>0</v>
      </c>
      <c r="I39" s="458">
        <v>1</v>
      </c>
      <c r="J39" s="77" t="s">
        <v>151</v>
      </c>
      <c r="K39" s="52"/>
      <c r="L39" s="495" t="str">
        <f>IF(OR(Copa2022!F47="",G39=""),"",
IF(AND(Copa2022!F47=G39,Copa2022!H47=I39),Regras!$J$25,IF(Y39=Regras!F61,Regras!$J$26,0)))</f>
        <v/>
      </c>
      <c r="M39" s="495"/>
      <c r="N39" s="318"/>
      <c r="O39" s="502" t="s">
        <v>58</v>
      </c>
      <c r="P39" s="503"/>
      <c r="Q39" s="324" t="str">
        <f>IF(Copa2022!F52="","",IF(Copa2022!O48=Andrea!P40,Regras!$J$27,0))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 x14ac:dyDescent="0.2">
      <c r="A40" s="60" t="s">
        <v>321</v>
      </c>
      <c r="B40" s="485"/>
      <c r="C40" s="171">
        <v>44889</v>
      </c>
      <c r="D40" s="194" t="s">
        <v>136</v>
      </c>
      <c r="E40" s="172" t="s">
        <v>146</v>
      </c>
      <c r="F40" s="78" t="s">
        <v>10</v>
      </c>
      <c r="G40" s="441">
        <v>2</v>
      </c>
      <c r="H40" s="442" t="s">
        <v>0</v>
      </c>
      <c r="I40" s="459">
        <v>0</v>
      </c>
      <c r="J40" s="81" t="s">
        <v>128</v>
      </c>
      <c r="K40" s="52"/>
      <c r="L40" s="495" t="str">
        <f>IF(OR(Copa2022!F48="",G40=""),"",
IF(AND(Copa2022!F48=G40,Copa2022!H48=I40),Regras!$J$25,IF(Y40=Regras!F62,Regras!$J$26,0)))</f>
        <v/>
      </c>
      <c r="M40" s="495"/>
      <c r="N40" s="318"/>
      <c r="O40" s="455">
        <v>1</v>
      </c>
      <c r="P40" s="456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 x14ac:dyDescent="0.25">
      <c r="A41" s="60" t="s">
        <v>322</v>
      </c>
      <c r="B41" s="485"/>
      <c r="C41" s="171">
        <v>44893</v>
      </c>
      <c r="D41" s="194" t="s">
        <v>133</v>
      </c>
      <c r="E41" s="172" t="s">
        <v>164</v>
      </c>
      <c r="F41" s="78" t="s">
        <v>151</v>
      </c>
      <c r="G41" s="441">
        <v>1</v>
      </c>
      <c r="H41" s="442" t="s">
        <v>0</v>
      </c>
      <c r="I41" s="459">
        <v>1</v>
      </c>
      <c r="J41" s="81" t="s">
        <v>128</v>
      </c>
      <c r="K41" s="52"/>
      <c r="L41" s="495" t="str">
        <f>IF(OR(Copa2022!F49="",G41=""),"",
IF(AND(Copa2022!F49=G41,Copa2022!H49=I41),Regras!$J$25,IF(Y41=Regras!F63,Regras!$J$26,0)))</f>
        <v/>
      </c>
      <c r="M41" s="495"/>
      <c r="N41" s="318"/>
      <c r="O41" s="453">
        <v>2</v>
      </c>
      <c r="P41" s="454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 x14ac:dyDescent="0.2">
      <c r="A42" s="60" t="s">
        <v>323</v>
      </c>
      <c r="B42" s="485"/>
      <c r="C42" s="171">
        <v>44893</v>
      </c>
      <c r="D42" s="194" t="s">
        <v>134</v>
      </c>
      <c r="E42" s="172" t="s">
        <v>163</v>
      </c>
      <c r="F42" s="78" t="s">
        <v>10</v>
      </c>
      <c r="G42" s="441">
        <v>1</v>
      </c>
      <c r="H42" s="442" t="s">
        <v>0</v>
      </c>
      <c r="I42" s="459">
        <v>0</v>
      </c>
      <c r="J42" s="81" t="s">
        <v>12</v>
      </c>
      <c r="K42" s="52"/>
      <c r="L42" s="495" t="str">
        <f>IF(OR(Copa2022!F50="",G42=""),"",
IF(AND(Copa2022!F50=G42,Copa2022!H50=I42),Regras!$J$25,IF(Y42=Regras!F64,Regras!$J$26,0)))</f>
        <v/>
      </c>
      <c r="M42" s="495"/>
      <c r="N42" s="318"/>
      <c r="O42" s="450">
        <v>3</v>
      </c>
      <c r="P42" s="449" t="s">
        <v>151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 x14ac:dyDescent="0.25">
      <c r="A43" s="60" t="s">
        <v>324</v>
      </c>
      <c r="B43" s="485"/>
      <c r="C43" s="171">
        <v>44897</v>
      </c>
      <c r="D43" s="194" t="s">
        <v>136</v>
      </c>
      <c r="E43" s="172" t="s">
        <v>146</v>
      </c>
      <c r="F43" s="78" t="s">
        <v>151</v>
      </c>
      <c r="G43" s="441">
        <v>0</v>
      </c>
      <c r="H43" s="442" t="s">
        <v>0</v>
      </c>
      <c r="I43" s="459">
        <v>2</v>
      </c>
      <c r="J43" s="81" t="s">
        <v>10</v>
      </c>
      <c r="K43" s="52"/>
      <c r="L43" s="495" t="str">
        <f>IF(OR(Copa2022!F51="",G43=""),"",
IF(AND(Copa2022!F51=G43,Copa2022!H51=I43),Regras!$J$25,IF(Y43=Regras!F65,Regras!$J$26,0)))</f>
        <v/>
      </c>
      <c r="M43" s="495"/>
      <c r="N43" s="318"/>
      <c r="O43" s="451">
        <v>4</v>
      </c>
      <c r="P43" s="452" t="s">
        <v>128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 x14ac:dyDescent="0.25">
      <c r="A44" s="60" t="s">
        <v>325</v>
      </c>
      <c r="B44" s="486"/>
      <c r="C44" s="173">
        <v>44897</v>
      </c>
      <c r="D44" s="195" t="s">
        <v>136</v>
      </c>
      <c r="E44" s="174" t="s">
        <v>163</v>
      </c>
      <c r="F44" s="86" t="s">
        <v>128</v>
      </c>
      <c r="G44" s="445">
        <v>0</v>
      </c>
      <c r="H44" s="446" t="s">
        <v>0</v>
      </c>
      <c r="I44" s="460">
        <v>1</v>
      </c>
      <c r="J44" s="89" t="s">
        <v>12</v>
      </c>
      <c r="K44" s="52"/>
      <c r="L44" s="495" t="str">
        <f>IF(OR(Copa2022!F52="",G44=""),"",
IF(AND(Copa2022!F52=G44,Copa2022!H52=I44),Regras!$J$25,IF(Y44=Regras!F66,Regras!$J$26,0)))</f>
        <v/>
      </c>
      <c r="M44" s="495"/>
      <c r="N44" s="318"/>
      <c r="O44" s="438"/>
      <c r="P44" s="449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 x14ac:dyDescent="0.25">
      <c r="A45" s="60" t="s">
        <v>326</v>
      </c>
      <c r="B45" s="48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443">
        <v>2</v>
      </c>
      <c r="H45" s="444" t="s">
        <v>0</v>
      </c>
      <c r="I45" s="461">
        <v>1</v>
      </c>
      <c r="J45" s="85" t="s">
        <v>5</v>
      </c>
      <c r="K45" s="52"/>
      <c r="L45" s="495" t="str">
        <f>IF(OR(Copa2022!F53="",G45=""),"",
IF(AND(Copa2022!F53=G45,Copa2022!H53=I45),Regras!$J$25,IF(Y45=Regras!F67,Regras!$J$26,0)))</f>
        <v/>
      </c>
      <c r="M45" s="495"/>
      <c r="N45" s="318"/>
      <c r="O45" s="502" t="s">
        <v>59</v>
      </c>
      <c r="P45" s="503"/>
      <c r="Q45" s="324" t="str">
        <f>IF(Copa2022!F58="","",IF(Copa2022!O54=Andrea!P46,Regras!$J$27,0))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 x14ac:dyDescent="0.2">
      <c r="A46" s="60" t="s">
        <v>327</v>
      </c>
      <c r="B46" s="485"/>
      <c r="C46" s="171">
        <v>44889</v>
      </c>
      <c r="D46" s="194" t="s">
        <v>134</v>
      </c>
      <c r="E46" s="177" t="s">
        <v>163</v>
      </c>
      <c r="F46" s="78" t="s">
        <v>9</v>
      </c>
      <c r="G46" s="441">
        <v>1</v>
      </c>
      <c r="H46" s="442" t="s">
        <v>0</v>
      </c>
      <c r="I46" s="459">
        <v>0</v>
      </c>
      <c r="J46" s="81" t="s">
        <v>152</v>
      </c>
      <c r="K46" s="52"/>
      <c r="L46" s="495" t="str">
        <f>IF(OR(Copa2022!F54="",G46=""),"",
IF(AND(Copa2022!F54=G46,Copa2022!H54=I46),Regras!$J$25,IF(Y46=Regras!F68,Regras!$J$26,0)))</f>
        <v/>
      </c>
      <c r="M46" s="495"/>
      <c r="N46" s="318"/>
      <c r="O46" s="450">
        <v>1</v>
      </c>
      <c r="P46" s="449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 x14ac:dyDescent="0.25">
      <c r="A47" s="60" t="s">
        <v>328</v>
      </c>
      <c r="B47" s="485"/>
      <c r="C47" s="171">
        <v>44893</v>
      </c>
      <c r="D47" s="194" t="s">
        <v>135</v>
      </c>
      <c r="E47" s="177" t="s">
        <v>148</v>
      </c>
      <c r="F47" s="78" t="s">
        <v>5</v>
      </c>
      <c r="G47" s="441">
        <v>0</v>
      </c>
      <c r="H47" s="442" t="s">
        <v>0</v>
      </c>
      <c r="I47" s="459">
        <v>0</v>
      </c>
      <c r="J47" s="81" t="s">
        <v>152</v>
      </c>
      <c r="K47" s="52"/>
      <c r="L47" s="495" t="str">
        <f>IF(OR(Copa2022!F55="",G47=""),"",
IF(AND(Copa2022!F55=G47,Copa2022!H55=I47),Regras!$J$25,IF(Y47=Regras!F69,Regras!$J$26,0)))</f>
        <v/>
      </c>
      <c r="M47" s="495"/>
      <c r="N47" s="318"/>
      <c r="O47" s="453">
        <v>2</v>
      </c>
      <c r="P47" s="454" t="s">
        <v>9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 x14ac:dyDescent="0.2">
      <c r="A48" s="60" t="s">
        <v>329</v>
      </c>
      <c r="B48" s="485"/>
      <c r="C48" s="171">
        <v>44893</v>
      </c>
      <c r="D48" s="194" t="s">
        <v>136</v>
      </c>
      <c r="E48" s="177" t="s">
        <v>146</v>
      </c>
      <c r="F48" s="78" t="s">
        <v>9</v>
      </c>
      <c r="G48" s="441">
        <v>2</v>
      </c>
      <c r="H48" s="442" t="s">
        <v>0</v>
      </c>
      <c r="I48" s="459">
        <v>2</v>
      </c>
      <c r="J48" s="81" t="s">
        <v>2</v>
      </c>
      <c r="K48" s="52"/>
      <c r="L48" s="495" t="str">
        <f>IF(OR(Copa2022!F56="",G48=""),"",
IF(AND(Copa2022!F56=G48,Copa2022!H56=I48),Regras!$J$25,IF(Y48=Regras!F70,Regras!$J$26,0)))</f>
        <v/>
      </c>
      <c r="M48" s="495"/>
      <c r="N48" s="318"/>
      <c r="O48" s="450">
        <v>3</v>
      </c>
      <c r="P48" s="449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 x14ac:dyDescent="0.25">
      <c r="A49" s="60" t="s">
        <v>330</v>
      </c>
      <c r="B49" s="485"/>
      <c r="C49" s="171">
        <v>44897</v>
      </c>
      <c r="D49" s="194" t="s">
        <v>132</v>
      </c>
      <c r="E49" s="177" t="s">
        <v>148</v>
      </c>
      <c r="F49" s="78" t="s">
        <v>5</v>
      </c>
      <c r="G49" s="441">
        <v>0</v>
      </c>
      <c r="H49" s="442" t="s">
        <v>0</v>
      </c>
      <c r="I49" s="459">
        <v>1</v>
      </c>
      <c r="J49" s="81" t="s">
        <v>9</v>
      </c>
      <c r="K49" s="52"/>
      <c r="L49" s="495" t="str">
        <f>IF(OR(Copa2022!F57="",G49=""),"",
IF(AND(Copa2022!F57=G49,Copa2022!H57=I49),Regras!$J$25,IF(Y49=Regras!F71,Regras!$J$26,0)))</f>
        <v/>
      </c>
      <c r="M49" s="495"/>
      <c r="N49" s="318"/>
      <c r="O49" s="451">
        <v>4</v>
      </c>
      <c r="P49" s="452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 x14ac:dyDescent="0.25">
      <c r="A50" s="477" t="s">
        <v>331</v>
      </c>
      <c r="B50" s="486"/>
      <c r="C50" s="173">
        <v>44897</v>
      </c>
      <c r="D50" s="195" t="s">
        <v>132</v>
      </c>
      <c r="E50" s="178" t="s">
        <v>164</v>
      </c>
      <c r="F50" s="19" t="s">
        <v>152</v>
      </c>
      <c r="G50" s="463">
        <v>1</v>
      </c>
      <c r="H50" s="464" t="s">
        <v>0</v>
      </c>
      <c r="I50" s="465">
        <v>2</v>
      </c>
      <c r="J50" s="130" t="s">
        <v>2</v>
      </c>
      <c r="K50" s="52"/>
      <c r="L50" s="495" t="str">
        <f>IF(OR(Copa2022!F58="",G50=""),"",
IF(AND(Copa2022!F58=G50,Copa2022!H58=I50),Regras!$J$25,IF(Y50=Regras!F72,Regras!$J$26,0)))</f>
        <v/>
      </c>
      <c r="M50" s="495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x14ac:dyDescent="0.2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 x14ac:dyDescent="0.25">
      <c r="B52" s="44"/>
      <c r="C52" s="506" t="s">
        <v>124</v>
      </c>
      <c r="D52" s="507"/>
      <c r="E52" s="507"/>
      <c r="F52" s="507"/>
      <c r="G52" s="507"/>
      <c r="H52" s="507"/>
      <c r="I52" s="507"/>
      <c r="J52" s="507"/>
      <c r="K52" s="507"/>
      <c r="L52" s="507"/>
      <c r="M52" s="508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 x14ac:dyDescent="0.25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4" t="s">
        <v>78</v>
      </c>
      <c r="M53" s="505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 x14ac:dyDescent="0.25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 x14ac:dyDescent="0.25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 x14ac:dyDescent="0.25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 x14ac:dyDescent="0.25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 x14ac:dyDescent="0.25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 x14ac:dyDescent="0.25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 x14ac:dyDescent="0.25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 x14ac:dyDescent="0.25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 x14ac:dyDescent="0.25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23" t="s">
        <v>78</v>
      </c>
      <c r="M62" s="524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 x14ac:dyDescent="0.25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 x14ac:dyDescent="0.25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 x14ac:dyDescent="0.25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 x14ac:dyDescent="0.25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 x14ac:dyDescent="0.25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20" t="s">
        <v>78</v>
      </c>
      <c r="M67" s="522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 x14ac:dyDescent="0.25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 x14ac:dyDescent="0.25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 x14ac:dyDescent="0.25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20" t="s">
        <v>78</v>
      </c>
      <c r="M70" s="522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 x14ac:dyDescent="0.25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 x14ac:dyDescent="0.25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20" t="s">
        <v>78</v>
      </c>
      <c r="M72" s="521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 x14ac:dyDescent="0.25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 x14ac:dyDescent="0.2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 x14ac:dyDescent="0.25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 x14ac:dyDescent="0.25">
      <c r="C76" s="2"/>
      <c r="D76" s="2"/>
      <c r="E76" s="125" t="s">
        <v>83</v>
      </c>
      <c r="F76" s="511">
        <f>'2ª Fase'!E40:I40</f>
        <v>0</v>
      </c>
      <c r="G76" s="511"/>
      <c r="H76" s="511"/>
      <c r="I76" s="511"/>
      <c r="J76" s="512"/>
      <c r="K76" s="50"/>
      <c r="L76" s="1"/>
      <c r="M76" s="1"/>
    </row>
    <row r="77" spans="1:25" ht="15" customHeight="1" x14ac:dyDescent="0.2">
      <c r="C77" s="2"/>
      <c r="D77" s="2"/>
      <c r="E77" s="126" t="s">
        <v>84</v>
      </c>
      <c r="F77" s="513">
        <f>'2ª Fase'!E41:I41</f>
        <v>0</v>
      </c>
      <c r="G77" s="513"/>
      <c r="H77" s="513"/>
      <c r="I77" s="513"/>
      <c r="J77" s="514"/>
      <c r="K77" s="50"/>
      <c r="L77" s="1"/>
      <c r="M77" s="1"/>
    </row>
    <row r="78" spans="1:25" ht="15" customHeight="1" x14ac:dyDescent="0.2">
      <c r="C78" s="2"/>
      <c r="D78" s="2"/>
      <c r="E78" s="127" t="s">
        <v>102</v>
      </c>
      <c r="F78" s="515">
        <f>'2ª Fase'!E42:I42</f>
        <v>0</v>
      </c>
      <c r="G78" s="515"/>
      <c r="H78" s="515"/>
      <c r="I78" s="515"/>
      <c r="J78" s="516"/>
      <c r="K78" s="50"/>
      <c r="L78" s="1"/>
      <c r="M78" s="1"/>
    </row>
    <row r="79" spans="1:25" ht="15" customHeight="1" thickBot="1" x14ac:dyDescent="0.25">
      <c r="C79" s="2"/>
      <c r="D79" s="2"/>
      <c r="E79" s="128" t="s">
        <v>103</v>
      </c>
      <c r="F79" s="517">
        <f>'2ª Fase'!E43:I43</f>
        <v>0</v>
      </c>
      <c r="G79" s="517"/>
      <c r="H79" s="517"/>
      <c r="I79" s="517"/>
      <c r="J79" s="518"/>
      <c r="K79" s="50"/>
      <c r="L79" s="1"/>
      <c r="M79" s="1"/>
    </row>
    <row r="80" spans="1:25" ht="15" hidden="1" customHeight="1" x14ac:dyDescent="0.2">
      <c r="C80" s="2"/>
      <c r="D80" s="2"/>
      <c r="E80" s="192"/>
      <c r="F80" s="509"/>
      <c r="G80" s="509"/>
      <c r="H80" s="509"/>
      <c r="I80" s="509"/>
      <c r="J80" s="510"/>
      <c r="K80" s="50"/>
      <c r="L80" s="129"/>
      <c r="M80" s="1"/>
    </row>
    <row r="81" spans="3:13" ht="15.75" x14ac:dyDescent="0.2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 x14ac:dyDescent="0.2"/>
    <row r="90" spans="3:13" ht="15.75" customHeight="1" x14ac:dyDescent="0.2"/>
    <row r="91" spans="3:13" ht="15.75" customHeight="1" x14ac:dyDescent="0.2"/>
    <row r="92" spans="3:13" ht="15.75" customHeight="1" x14ac:dyDescent="0.2"/>
    <row r="93" spans="3:13" ht="15.75" customHeight="1" x14ac:dyDescent="0.2"/>
    <row r="94" spans="3:13" ht="15.75" customHeight="1" x14ac:dyDescent="0.2"/>
    <row r="95" spans="3:13" ht="15.75" customHeight="1" x14ac:dyDescent="0.2"/>
    <row r="96" spans="3:13" ht="15.75" customHeight="1" x14ac:dyDescent="0.2"/>
    <row r="117" spans="2:25" s="9" customFormat="1" ht="15.75" hidden="1" x14ac:dyDescent="0.2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F76:J76"/>
    <mergeCell ref="F77:J77"/>
    <mergeCell ref="F78:J78"/>
    <mergeCell ref="F79:J79"/>
    <mergeCell ref="F80:J80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B39:B44"/>
    <mergeCell ref="L39:M39"/>
    <mergeCell ref="O39:P39"/>
    <mergeCell ref="L40:M40"/>
    <mergeCell ref="L41:M41"/>
    <mergeCell ref="L42:M42"/>
    <mergeCell ref="L43:M43"/>
    <mergeCell ref="L44:M44"/>
    <mergeCell ref="B33:B38"/>
    <mergeCell ref="L33:M33"/>
    <mergeCell ref="O33:P33"/>
    <mergeCell ref="L34:M34"/>
    <mergeCell ref="L35:M35"/>
    <mergeCell ref="L36:M36"/>
    <mergeCell ref="L37:M37"/>
    <mergeCell ref="L38:M38"/>
    <mergeCell ref="B27:B32"/>
    <mergeCell ref="L27:M27"/>
    <mergeCell ref="O27:P27"/>
    <mergeCell ref="L28:M28"/>
    <mergeCell ref="L29:M29"/>
    <mergeCell ref="L30:M30"/>
    <mergeCell ref="L31:M31"/>
    <mergeCell ref="L32:M32"/>
    <mergeCell ref="B21:B26"/>
    <mergeCell ref="L21:M21"/>
    <mergeCell ref="O21:P21"/>
    <mergeCell ref="L22:M22"/>
    <mergeCell ref="L23:M23"/>
    <mergeCell ref="L24:M24"/>
    <mergeCell ref="L25:M25"/>
    <mergeCell ref="L26:M26"/>
    <mergeCell ref="B15:B20"/>
    <mergeCell ref="L15:M15"/>
    <mergeCell ref="O15:P15"/>
    <mergeCell ref="L16:M16"/>
    <mergeCell ref="L17:M17"/>
    <mergeCell ref="L18:M18"/>
    <mergeCell ref="L19:M19"/>
    <mergeCell ref="L20:M20"/>
    <mergeCell ref="B9:B14"/>
    <mergeCell ref="L9:M9"/>
    <mergeCell ref="O9:P9"/>
    <mergeCell ref="L10:M10"/>
    <mergeCell ref="L11:M11"/>
    <mergeCell ref="L12:M12"/>
    <mergeCell ref="L13:M13"/>
    <mergeCell ref="L14:M14"/>
    <mergeCell ref="B3:B8"/>
    <mergeCell ref="L3:M3"/>
    <mergeCell ref="O3:P3"/>
    <mergeCell ref="L4:M4"/>
    <mergeCell ref="L5:M5"/>
    <mergeCell ref="L6:M6"/>
    <mergeCell ref="L7:M7"/>
    <mergeCell ref="L8:M8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62" priority="51" stopIfTrue="1" operator="equal">
      <formula>#REF!</formula>
    </cfRule>
  </conditionalFormatting>
  <conditionalFormatting sqref="M54:N54">
    <cfRule type="expression" dxfId="61" priority="50">
      <formula>$H$14="penaltis"</formula>
    </cfRule>
  </conditionalFormatting>
  <conditionalFormatting sqref="L55:N55">
    <cfRule type="expression" dxfId="60" priority="49">
      <formula>$H$15="penaltis"</formula>
    </cfRule>
  </conditionalFormatting>
  <conditionalFormatting sqref="L56:N56">
    <cfRule type="expression" dxfId="59" priority="48">
      <formula>$H$16="penaltis"</formula>
    </cfRule>
  </conditionalFormatting>
  <conditionalFormatting sqref="L57:N57">
    <cfRule type="expression" dxfId="58" priority="47">
      <formula>$H$17="penaltis"</formula>
    </cfRule>
  </conditionalFormatting>
  <conditionalFormatting sqref="L58:N58">
    <cfRule type="expression" dxfId="57" priority="46">
      <formula>$H$18="penaltis"</formula>
    </cfRule>
  </conditionalFormatting>
  <conditionalFormatting sqref="L59:N59">
    <cfRule type="expression" dxfId="56" priority="45">
      <formula>$H$19="penaltis"</formula>
    </cfRule>
  </conditionalFormatting>
  <conditionalFormatting sqref="L60:N60">
    <cfRule type="expression" dxfId="55" priority="44">
      <formula>$H$20="penaltis"</formula>
    </cfRule>
  </conditionalFormatting>
  <conditionalFormatting sqref="L61:N61">
    <cfRule type="expression" dxfId="54" priority="43">
      <formula>$H$21="penaltis"</formula>
    </cfRule>
  </conditionalFormatting>
  <conditionalFormatting sqref="N63">
    <cfRule type="expression" dxfId="53" priority="42">
      <formula>$H$23="penaltis"</formula>
    </cfRule>
  </conditionalFormatting>
  <conditionalFormatting sqref="N64">
    <cfRule type="expression" dxfId="52" priority="41" stopIfTrue="1">
      <formula>$H$24="penaltis"</formula>
    </cfRule>
  </conditionalFormatting>
  <conditionalFormatting sqref="N65">
    <cfRule type="expression" dxfId="51" priority="40" stopIfTrue="1">
      <formula>$H$25="penaltis"</formula>
    </cfRule>
  </conditionalFormatting>
  <conditionalFormatting sqref="N66">
    <cfRule type="expression" dxfId="50" priority="39" stopIfTrue="1">
      <formula>$H$26="penaltis"</formula>
    </cfRule>
  </conditionalFormatting>
  <conditionalFormatting sqref="N68">
    <cfRule type="expression" dxfId="49" priority="38" stopIfTrue="1">
      <formula>$H$28="penaltis"</formula>
    </cfRule>
  </conditionalFormatting>
  <conditionalFormatting sqref="N69">
    <cfRule type="expression" dxfId="48" priority="37" stopIfTrue="1">
      <formula>$H$29="penaltis"</formula>
    </cfRule>
  </conditionalFormatting>
  <conditionalFormatting sqref="N71">
    <cfRule type="expression" dxfId="47" priority="36" stopIfTrue="1">
      <formula>$H$31="penaltis"</formula>
    </cfRule>
  </conditionalFormatting>
  <conditionalFormatting sqref="N73">
    <cfRule type="expression" dxfId="46" priority="35" stopIfTrue="1">
      <formula>$H$33="penaltis"</formula>
    </cfRule>
  </conditionalFormatting>
  <conditionalFormatting sqref="L54:M54">
    <cfRule type="expression" dxfId="45" priority="34" stopIfTrue="1">
      <formula>$K$54="penaltis"</formula>
    </cfRule>
  </conditionalFormatting>
  <conditionalFormatting sqref="L55:M55">
    <cfRule type="expression" dxfId="44" priority="33" stopIfTrue="1">
      <formula>$K$55="penaltis"</formula>
    </cfRule>
  </conditionalFormatting>
  <conditionalFormatting sqref="L56:M56">
    <cfRule type="expression" dxfId="43" priority="32" stopIfTrue="1">
      <formula>$K$56="penaltis"</formula>
    </cfRule>
  </conditionalFormatting>
  <conditionalFormatting sqref="L57:M57">
    <cfRule type="expression" dxfId="42" priority="31" stopIfTrue="1">
      <formula>$K$57="penaltis"</formula>
    </cfRule>
  </conditionalFormatting>
  <conditionalFormatting sqref="L58:M58">
    <cfRule type="expression" dxfId="41" priority="30" stopIfTrue="1">
      <formula>$K$58="penaltis"</formula>
    </cfRule>
  </conditionalFormatting>
  <conditionalFormatting sqref="L59:M59">
    <cfRule type="expression" dxfId="40" priority="29" stopIfTrue="1">
      <formula>$K$59="penaltis"</formula>
    </cfRule>
  </conditionalFormatting>
  <conditionalFormatting sqref="L60:M60">
    <cfRule type="expression" dxfId="39" priority="28" stopIfTrue="1">
      <formula>$K$60="penaltis"</formula>
    </cfRule>
  </conditionalFormatting>
  <conditionalFormatting sqref="L61:M61">
    <cfRule type="expression" dxfId="38" priority="27" stopIfTrue="1">
      <formula>$K$61="penaltis"</formula>
    </cfRule>
  </conditionalFormatting>
  <conditionalFormatting sqref="L63:M63">
    <cfRule type="expression" dxfId="37" priority="26">
      <formula>$K$63="penaltis"</formula>
    </cfRule>
  </conditionalFormatting>
  <conditionalFormatting sqref="L64:M64">
    <cfRule type="expression" dxfId="36" priority="25">
      <formula>$K$64="penaltis"</formula>
    </cfRule>
  </conditionalFormatting>
  <conditionalFormatting sqref="L65:M65">
    <cfRule type="expression" dxfId="35" priority="24">
      <formula>$K$65="penaltis"</formula>
    </cfRule>
  </conditionalFormatting>
  <conditionalFormatting sqref="L66:M66">
    <cfRule type="expression" dxfId="34" priority="23">
      <formula>$K$66="penaltis"</formula>
    </cfRule>
  </conditionalFormatting>
  <conditionalFormatting sqref="L68:M68">
    <cfRule type="expression" dxfId="33" priority="22">
      <formula>$K$68="penaltis"</formula>
    </cfRule>
  </conditionalFormatting>
  <conditionalFormatting sqref="L69:M69">
    <cfRule type="expression" dxfId="32" priority="21">
      <formula>$K$69="penaltis"</formula>
    </cfRule>
  </conditionalFormatting>
  <conditionalFormatting sqref="L71:M71">
    <cfRule type="expression" dxfId="31" priority="20">
      <formula>$K$71="penaltis"</formula>
    </cfRule>
  </conditionalFormatting>
  <conditionalFormatting sqref="L73:M73">
    <cfRule type="expression" dxfId="30" priority="19">
      <formula>$K$73="penaltis"</formula>
    </cfRule>
  </conditionalFormatting>
  <conditionalFormatting sqref="Q4:X5">
    <cfRule type="expression" dxfId="29" priority="18">
      <formula>$R$8=12</formula>
    </cfRule>
  </conditionalFormatting>
  <conditionalFormatting sqref="Q10:X11">
    <cfRule type="expression" dxfId="28" priority="17">
      <formula>$R$14=12</formula>
    </cfRule>
  </conditionalFormatting>
  <conditionalFormatting sqref="Q16:X17">
    <cfRule type="expression" dxfId="27" priority="16">
      <formula>$R$20=12</formula>
    </cfRule>
  </conditionalFormatting>
  <conditionalFormatting sqref="Q22:X23">
    <cfRule type="expression" dxfId="26" priority="15">
      <formula>$R$26=12</formula>
    </cfRule>
  </conditionalFormatting>
  <conditionalFormatting sqref="Q28:X29">
    <cfRule type="expression" dxfId="25" priority="14">
      <formula>$R$32=12</formula>
    </cfRule>
  </conditionalFormatting>
  <conditionalFormatting sqref="Q34:X35">
    <cfRule type="expression" dxfId="24" priority="13">
      <formula>$R$38=12</formula>
    </cfRule>
  </conditionalFormatting>
  <conditionalFormatting sqref="Q40:X41">
    <cfRule type="expression" dxfId="23" priority="12">
      <formula>$R$44=12</formula>
    </cfRule>
  </conditionalFormatting>
  <conditionalFormatting sqref="Q46:X47">
    <cfRule type="expression" dxfId="22" priority="11">
      <formula>$R$50=12</formula>
    </cfRule>
  </conditionalFormatting>
  <conditionalFormatting sqref="F62:J73 B45 B9 B15 B21 B27 B33 B3 F3:F50 J3:J50">
    <cfRule type="cellIs" dxfId="21" priority="52" stopIfTrue="1" operator="equal">
      <formula>#REF!</formula>
    </cfRule>
  </conditionalFormatting>
  <conditionalFormatting sqref="B39">
    <cfRule type="cellIs" dxfId="20" priority="10" stopIfTrue="1" operator="equal">
      <formula>#REF!</formula>
    </cfRule>
  </conditionalFormatting>
  <conditionalFormatting sqref="F54:J61">
    <cfRule type="cellIs" dxfId="19" priority="9" stopIfTrue="1" operator="equal">
      <formula>$Z$7</formula>
    </cfRule>
  </conditionalFormatting>
  <conditionalFormatting sqref="O4:P5">
    <cfRule type="expression" dxfId="18" priority="8">
      <formula>$Q$16=12</formula>
    </cfRule>
  </conditionalFormatting>
  <conditionalFormatting sqref="O10:P11">
    <cfRule type="expression" dxfId="17" priority="7">
      <formula>$Q$22=12</formula>
    </cfRule>
  </conditionalFormatting>
  <conditionalFormatting sqref="O16:P17">
    <cfRule type="expression" dxfId="16" priority="6">
      <formula>$Q$28=12</formula>
    </cfRule>
  </conditionalFormatting>
  <conditionalFormatting sqref="O22:P23">
    <cfRule type="expression" dxfId="15" priority="5">
      <formula>$Q$34=12</formula>
    </cfRule>
  </conditionalFormatting>
  <conditionalFormatting sqref="O28:P29">
    <cfRule type="expression" dxfId="14" priority="4">
      <formula>$Q$40=12</formula>
    </cfRule>
  </conditionalFormatting>
  <conditionalFormatting sqref="O34:P35">
    <cfRule type="expression" dxfId="13" priority="3">
      <formula>$Q$46=12</formula>
    </cfRule>
  </conditionalFormatting>
  <conditionalFormatting sqref="O40:P41">
    <cfRule type="expression" dxfId="12" priority="2">
      <formula>$Q$52=12</formula>
    </cfRule>
  </conditionalFormatting>
  <conditionalFormatting sqref="O46:P47">
    <cfRule type="expression" dxfId="11" priority="1">
      <formula>$Q$58=12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 xr:uid="{00000000-0002-0000-1400-000000000000}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dimension ref="A1:D49"/>
  <sheetViews>
    <sheetView workbookViewId="0">
      <selection activeCell="B2" sqref="B2:B49"/>
    </sheetView>
  </sheetViews>
  <sheetFormatPr defaultRowHeight="15" x14ac:dyDescent="0.2"/>
  <cols>
    <col min="1" max="1" width="9.81640625" bestFit="1" customWidth="1"/>
    <col min="2" max="2" width="9.14453125" style="482"/>
  </cols>
  <sheetData>
    <row r="1" spans="1:4" x14ac:dyDescent="0.2">
      <c r="A1" t="s">
        <v>333</v>
      </c>
    </row>
    <row r="2" spans="1:4" x14ac:dyDescent="0.2">
      <c r="A2" s="169">
        <v>44885</v>
      </c>
      <c r="B2" s="482" t="s">
        <v>334</v>
      </c>
      <c r="D2" s="482" t="s">
        <v>334</v>
      </c>
    </row>
    <row r="3" spans="1:4" x14ac:dyDescent="0.2">
      <c r="A3" s="171">
        <v>44886</v>
      </c>
      <c r="B3" s="482" t="s">
        <v>335</v>
      </c>
      <c r="D3" s="482" t="s">
        <v>335</v>
      </c>
    </row>
    <row r="4" spans="1:4" x14ac:dyDescent="0.2">
      <c r="A4" s="171">
        <v>44890</v>
      </c>
      <c r="B4" s="482" t="s">
        <v>336</v>
      </c>
      <c r="D4" s="482" t="s">
        <v>338</v>
      </c>
    </row>
    <row r="5" spans="1:4" x14ac:dyDescent="0.2">
      <c r="A5" s="171">
        <v>44890</v>
      </c>
      <c r="B5" s="482" t="s">
        <v>336</v>
      </c>
      <c r="D5" s="482" t="s">
        <v>341</v>
      </c>
    </row>
    <row r="6" spans="1:4" x14ac:dyDescent="0.2">
      <c r="A6" s="171">
        <v>44894</v>
      </c>
      <c r="B6" s="482" t="s">
        <v>337</v>
      </c>
      <c r="D6" s="482" t="s">
        <v>343</v>
      </c>
    </row>
    <row r="7" spans="1:4" ht="15.75" thickBot="1" x14ac:dyDescent="0.25">
      <c r="A7" s="173">
        <v>44894</v>
      </c>
      <c r="B7" s="482" t="s">
        <v>337</v>
      </c>
      <c r="D7" s="482" t="s">
        <v>336</v>
      </c>
    </row>
    <row r="8" spans="1:4" x14ac:dyDescent="0.2">
      <c r="A8" s="175">
        <v>44886</v>
      </c>
      <c r="B8" s="482" t="s">
        <v>335</v>
      </c>
      <c r="D8" s="482" t="s">
        <v>339</v>
      </c>
    </row>
    <row r="9" spans="1:4" x14ac:dyDescent="0.2">
      <c r="A9" s="171">
        <v>44886</v>
      </c>
      <c r="B9" s="482" t="s">
        <v>335</v>
      </c>
      <c r="D9" s="482" t="s">
        <v>342</v>
      </c>
    </row>
    <row r="10" spans="1:4" x14ac:dyDescent="0.2">
      <c r="A10" s="171">
        <v>44890</v>
      </c>
      <c r="B10" s="482" t="s">
        <v>336</v>
      </c>
      <c r="D10" s="482" t="s">
        <v>344</v>
      </c>
    </row>
    <row r="11" spans="1:4" x14ac:dyDescent="0.2">
      <c r="A11" s="171">
        <v>44890</v>
      </c>
      <c r="B11" s="482" t="s">
        <v>336</v>
      </c>
      <c r="D11" s="482" t="s">
        <v>337</v>
      </c>
    </row>
    <row r="12" spans="1:4" x14ac:dyDescent="0.2">
      <c r="A12" s="171">
        <v>44894</v>
      </c>
      <c r="B12" s="482" t="s">
        <v>337</v>
      </c>
      <c r="D12" s="482" t="s">
        <v>340</v>
      </c>
    </row>
    <row r="13" spans="1:4" ht="15.75" thickBot="1" x14ac:dyDescent="0.25">
      <c r="A13" s="173">
        <v>44894</v>
      </c>
      <c r="B13" s="482" t="s">
        <v>337</v>
      </c>
      <c r="D13" s="482" t="s">
        <v>345</v>
      </c>
    </row>
    <row r="14" spans="1:4" x14ac:dyDescent="0.2">
      <c r="A14" s="175">
        <v>44887</v>
      </c>
      <c r="B14" s="482" t="s">
        <v>338</v>
      </c>
      <c r="D14" s="482" t="s">
        <v>346</v>
      </c>
    </row>
    <row r="15" spans="1:4" x14ac:dyDescent="0.2">
      <c r="A15" s="171">
        <v>44887</v>
      </c>
      <c r="B15" s="482" t="s">
        <v>338</v>
      </c>
    </row>
    <row r="16" spans="1:4" x14ac:dyDescent="0.2">
      <c r="A16" s="171">
        <v>44891</v>
      </c>
      <c r="B16" s="482" t="s">
        <v>339</v>
      </c>
    </row>
    <row r="17" spans="1:2" x14ac:dyDescent="0.2">
      <c r="A17" s="171">
        <v>44891</v>
      </c>
      <c r="B17" s="482" t="s">
        <v>339</v>
      </c>
    </row>
    <row r="18" spans="1:2" x14ac:dyDescent="0.2">
      <c r="A18" s="171">
        <v>44895</v>
      </c>
      <c r="B18" s="482" t="s">
        <v>340</v>
      </c>
    </row>
    <row r="19" spans="1:2" ht="15.75" thickBot="1" x14ac:dyDescent="0.25">
      <c r="A19" s="173">
        <v>44895</v>
      </c>
      <c r="B19" s="482" t="s">
        <v>340</v>
      </c>
    </row>
    <row r="20" spans="1:2" x14ac:dyDescent="0.2">
      <c r="A20" s="175">
        <v>44887</v>
      </c>
      <c r="B20" s="482" t="s">
        <v>338</v>
      </c>
    </row>
    <row r="21" spans="1:2" x14ac:dyDescent="0.2">
      <c r="A21" s="171">
        <v>44887</v>
      </c>
      <c r="B21" s="482" t="s">
        <v>338</v>
      </c>
    </row>
    <row r="22" spans="1:2" x14ac:dyDescent="0.2">
      <c r="A22" s="171">
        <v>44891</v>
      </c>
      <c r="B22" s="482" t="s">
        <v>339</v>
      </c>
    </row>
    <row r="23" spans="1:2" x14ac:dyDescent="0.2">
      <c r="A23" s="171">
        <v>44891</v>
      </c>
      <c r="B23" s="482" t="s">
        <v>339</v>
      </c>
    </row>
    <row r="24" spans="1:2" x14ac:dyDescent="0.2">
      <c r="A24" s="171">
        <v>44895</v>
      </c>
      <c r="B24" s="482" t="s">
        <v>340</v>
      </c>
    </row>
    <row r="25" spans="1:2" ht="15.75" thickBot="1" x14ac:dyDescent="0.25">
      <c r="A25" s="173">
        <v>44895</v>
      </c>
      <c r="B25" s="482" t="s">
        <v>340</v>
      </c>
    </row>
    <row r="26" spans="1:2" x14ac:dyDescent="0.2">
      <c r="A26" s="175">
        <v>44888</v>
      </c>
      <c r="B26" s="482" t="s">
        <v>341</v>
      </c>
    </row>
    <row r="27" spans="1:2" x14ac:dyDescent="0.2">
      <c r="A27" s="171">
        <v>44888</v>
      </c>
      <c r="B27" s="482" t="s">
        <v>341</v>
      </c>
    </row>
    <row r="28" spans="1:2" x14ac:dyDescent="0.2">
      <c r="A28" s="171">
        <v>44892</v>
      </c>
      <c r="B28" s="482" t="s">
        <v>342</v>
      </c>
    </row>
    <row r="29" spans="1:2" x14ac:dyDescent="0.2">
      <c r="A29" s="171">
        <v>44892</v>
      </c>
      <c r="B29" s="482" t="s">
        <v>342</v>
      </c>
    </row>
    <row r="30" spans="1:2" x14ac:dyDescent="0.2">
      <c r="A30" s="171">
        <v>44896</v>
      </c>
      <c r="B30" s="482" t="s">
        <v>345</v>
      </c>
    </row>
    <row r="31" spans="1:2" ht="15.75" thickBot="1" x14ac:dyDescent="0.25">
      <c r="A31" s="173">
        <v>44896</v>
      </c>
      <c r="B31" s="482" t="s">
        <v>345</v>
      </c>
    </row>
    <row r="32" spans="1:2" x14ac:dyDescent="0.2">
      <c r="A32" s="175">
        <v>44888</v>
      </c>
      <c r="B32" s="482" t="s">
        <v>341</v>
      </c>
    </row>
    <row r="33" spans="1:2" x14ac:dyDescent="0.2">
      <c r="A33" s="171">
        <v>44888</v>
      </c>
      <c r="B33" s="482" t="s">
        <v>341</v>
      </c>
    </row>
    <row r="34" spans="1:2" x14ac:dyDescent="0.2">
      <c r="A34" s="171">
        <v>44892</v>
      </c>
      <c r="B34" s="482" t="s">
        <v>342</v>
      </c>
    </row>
    <row r="35" spans="1:2" x14ac:dyDescent="0.2">
      <c r="A35" s="171">
        <v>44892</v>
      </c>
      <c r="B35" s="482" t="s">
        <v>342</v>
      </c>
    </row>
    <row r="36" spans="1:2" x14ac:dyDescent="0.2">
      <c r="A36" s="171">
        <v>44896</v>
      </c>
      <c r="B36" s="482" t="s">
        <v>345</v>
      </c>
    </row>
    <row r="37" spans="1:2" ht="15.75" thickBot="1" x14ac:dyDescent="0.25">
      <c r="A37" s="173">
        <v>44896</v>
      </c>
      <c r="B37" s="482" t="s">
        <v>345</v>
      </c>
    </row>
    <row r="38" spans="1:2" x14ac:dyDescent="0.2">
      <c r="A38" s="175">
        <v>44889</v>
      </c>
      <c r="B38" s="482" t="s">
        <v>343</v>
      </c>
    </row>
    <row r="39" spans="1:2" x14ac:dyDescent="0.2">
      <c r="A39" s="171">
        <v>44889</v>
      </c>
      <c r="B39" s="482" t="s">
        <v>343</v>
      </c>
    </row>
    <row r="40" spans="1:2" x14ac:dyDescent="0.2">
      <c r="A40" s="171">
        <v>44893</v>
      </c>
      <c r="B40" s="482" t="s">
        <v>344</v>
      </c>
    </row>
    <row r="41" spans="1:2" x14ac:dyDescent="0.2">
      <c r="A41" s="171">
        <v>44893</v>
      </c>
      <c r="B41" s="482" t="s">
        <v>344</v>
      </c>
    </row>
    <row r="42" spans="1:2" x14ac:dyDescent="0.2">
      <c r="A42" s="171">
        <v>44897</v>
      </c>
      <c r="B42" s="482" t="s">
        <v>346</v>
      </c>
    </row>
    <row r="43" spans="1:2" ht="15.75" thickBot="1" x14ac:dyDescent="0.25">
      <c r="A43" s="173">
        <v>44897</v>
      </c>
      <c r="B43" s="482" t="s">
        <v>346</v>
      </c>
    </row>
    <row r="44" spans="1:2" x14ac:dyDescent="0.2">
      <c r="A44" s="175">
        <v>44889</v>
      </c>
      <c r="B44" s="482" t="s">
        <v>343</v>
      </c>
    </row>
    <row r="45" spans="1:2" x14ac:dyDescent="0.2">
      <c r="A45" s="171">
        <v>44889</v>
      </c>
      <c r="B45" s="482" t="s">
        <v>343</v>
      </c>
    </row>
    <row r="46" spans="1:2" x14ac:dyDescent="0.2">
      <c r="A46" s="171">
        <v>44893</v>
      </c>
      <c r="B46" s="482" t="s">
        <v>344</v>
      </c>
    </row>
    <row r="47" spans="1:2" x14ac:dyDescent="0.2">
      <c r="A47" s="171">
        <v>44893</v>
      </c>
      <c r="B47" s="482" t="s">
        <v>344</v>
      </c>
    </row>
    <row r="48" spans="1:2" x14ac:dyDescent="0.2">
      <c r="A48" s="171">
        <v>44897</v>
      </c>
      <c r="B48" s="482" t="s">
        <v>346</v>
      </c>
    </row>
    <row r="49" spans="1:2" ht="15.75" thickBot="1" x14ac:dyDescent="0.25">
      <c r="A49" s="173">
        <v>44897</v>
      </c>
      <c r="B49" s="482" t="s">
        <v>346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"/>
  <dimension ref="A1:AVY98"/>
  <sheetViews>
    <sheetView zoomScale="98" zoomScaleNormal="98" zoomScalePageLayoutView="98" workbookViewId="0">
      <pane xSplit="12" ySplit="2" topLeftCell="M31" activePane="bottomRight" state="frozen"/>
      <selection pane="bottomLeft" activeCell="A3" sqref="A3"/>
      <selection pane="topRight" activeCell="M1" sqref="M1"/>
      <selection pane="bottomRight" sqref="A1:XFD1048576"/>
    </sheetView>
  </sheetViews>
  <sheetFormatPr defaultColWidth="0" defaultRowHeight="12.75" zeroHeight="1" x14ac:dyDescent="0.15"/>
  <cols>
    <col min="1" max="1" width="10.76171875" style="197" customWidth="1"/>
    <col min="2" max="2" width="4.9765625" style="199" customWidth="1"/>
    <col min="3" max="3" width="13.1796875" style="199" bestFit="1" customWidth="1"/>
    <col min="4" max="4" width="5.109375" style="199" customWidth="1"/>
    <col min="5" max="5" width="17.75390625" style="197" customWidth="1"/>
    <col min="6" max="6" width="2.6875" style="197" customWidth="1"/>
    <col min="7" max="8" width="2.6875" style="199" customWidth="1"/>
    <col min="9" max="9" width="17.75390625" style="197" customWidth="1"/>
    <col min="10" max="10" width="9.81640625" style="199" hidden="1" customWidth="1"/>
    <col min="11" max="12" width="2.6875" style="267" customWidth="1"/>
    <col min="13" max="667" width="0" style="197" hidden="1" customWidth="1"/>
    <col min="668" max="668" width="17.75390625" style="197" hidden="1" customWidth="1"/>
    <col min="669" max="671" width="2.6875" style="197" hidden="1" customWidth="1"/>
    <col min="672" max="672" width="17.75390625" style="197" hidden="1" customWidth="1"/>
    <col min="673" max="673" width="3.2265625" style="197" hidden="1" customWidth="1"/>
    <col min="674" max="674" width="17.75390625" style="197" hidden="1" customWidth="1"/>
    <col min="675" max="677" width="2.6875" style="197" hidden="1" customWidth="1"/>
    <col min="678" max="678" width="17.75390625" style="197" hidden="1" customWidth="1"/>
    <col min="679" max="679" width="3.2265625" style="197" hidden="1" customWidth="1"/>
    <col min="680" max="680" width="17.75390625" style="197" hidden="1" customWidth="1"/>
    <col min="681" max="683" width="2.6875" style="197" hidden="1" customWidth="1"/>
    <col min="684" max="684" width="17.75390625" style="197" hidden="1" customWidth="1"/>
    <col min="685" max="685" width="3.2265625" style="197" hidden="1" customWidth="1"/>
    <col min="686" max="686" width="17.75390625" style="197" hidden="1" customWidth="1"/>
    <col min="687" max="689" width="2.6875" style="197" hidden="1" customWidth="1"/>
    <col min="690" max="690" width="17.75390625" style="197" hidden="1" customWidth="1"/>
    <col min="691" max="691" width="3.2265625" style="197" hidden="1" customWidth="1"/>
    <col min="692" max="692" width="17.75390625" style="197" hidden="1" customWidth="1"/>
    <col min="693" max="695" width="2.6875" style="197" hidden="1" customWidth="1"/>
    <col min="696" max="696" width="17.75390625" style="197" hidden="1" customWidth="1"/>
    <col min="697" max="697" width="3.2265625" style="197" hidden="1" customWidth="1"/>
    <col min="698" max="698" width="17.75390625" style="197" hidden="1" customWidth="1"/>
    <col min="699" max="701" width="2.6875" style="197" hidden="1" customWidth="1"/>
    <col min="702" max="702" width="17.75390625" style="197" hidden="1" customWidth="1"/>
    <col min="703" max="703" width="3.2265625" style="197" hidden="1" customWidth="1"/>
    <col min="704" max="704" width="17.75390625" style="197" hidden="1" customWidth="1"/>
    <col min="705" max="707" width="2.6875" style="197" hidden="1" customWidth="1"/>
    <col min="708" max="708" width="17.75390625" style="197" hidden="1" customWidth="1"/>
    <col min="709" max="709" width="3.2265625" style="197" hidden="1" customWidth="1"/>
    <col min="710" max="710" width="17.75390625" style="197" hidden="1" customWidth="1"/>
    <col min="711" max="713" width="2.6875" style="197" hidden="1" customWidth="1"/>
    <col min="714" max="714" width="17.75390625" style="197" hidden="1" customWidth="1"/>
    <col min="715" max="715" width="3.2265625" style="197" hidden="1" customWidth="1"/>
    <col min="716" max="716" width="17.75390625" style="197" hidden="1" customWidth="1"/>
    <col min="717" max="719" width="2.6875" style="197" hidden="1" customWidth="1"/>
    <col min="720" max="720" width="17.75390625" style="197" hidden="1" customWidth="1"/>
    <col min="721" max="721" width="3.2265625" style="197" hidden="1" customWidth="1"/>
    <col min="722" max="722" width="17.75390625" style="197" hidden="1" customWidth="1"/>
    <col min="723" max="725" width="2.6875" style="197" hidden="1" customWidth="1"/>
    <col min="726" max="726" width="17.75390625" style="197" hidden="1" customWidth="1"/>
    <col min="727" max="727" width="3.2265625" style="197" hidden="1" customWidth="1"/>
    <col min="728" max="728" width="17.75390625" style="197" hidden="1" customWidth="1"/>
    <col min="729" max="731" width="2.6875" style="197" hidden="1" customWidth="1"/>
    <col min="732" max="732" width="17.75390625" style="197" hidden="1" customWidth="1"/>
    <col min="733" max="733" width="3.2265625" style="197" hidden="1" customWidth="1"/>
    <col min="734" max="734" width="17.75390625" style="197" hidden="1" customWidth="1"/>
    <col min="735" max="737" width="2.6875" style="197" hidden="1" customWidth="1"/>
    <col min="738" max="738" width="17.75390625" style="197" hidden="1" customWidth="1"/>
    <col min="739" max="739" width="3.2265625" style="197" hidden="1" customWidth="1"/>
    <col min="740" max="740" width="17.75390625" style="197" hidden="1" customWidth="1"/>
    <col min="741" max="743" width="2.6875" style="197" hidden="1" customWidth="1"/>
    <col min="744" max="744" width="17.75390625" style="197" hidden="1" customWidth="1"/>
    <col min="745" max="745" width="3.2265625" style="197" hidden="1" customWidth="1"/>
    <col min="746" max="746" width="17.75390625" style="197" hidden="1" customWidth="1"/>
    <col min="747" max="749" width="2.6875" style="197" hidden="1" customWidth="1"/>
    <col min="750" max="750" width="17.75390625" style="197" hidden="1" customWidth="1"/>
    <col min="751" max="751" width="3.2265625" style="197" hidden="1" customWidth="1"/>
    <col min="752" max="752" width="17.75390625" style="197" hidden="1" customWidth="1"/>
    <col min="753" max="755" width="2.6875" style="197" hidden="1" customWidth="1"/>
    <col min="756" max="756" width="17.75390625" style="197" hidden="1" customWidth="1"/>
    <col min="757" max="757" width="3.2265625" style="197" hidden="1" customWidth="1"/>
    <col min="758" max="758" width="17.75390625" style="197" hidden="1" customWidth="1"/>
    <col min="759" max="761" width="2.6875" style="197" hidden="1" customWidth="1"/>
    <col min="762" max="762" width="17.75390625" style="197" hidden="1" customWidth="1"/>
    <col min="763" max="763" width="3.2265625" style="197" hidden="1" customWidth="1"/>
    <col min="764" max="764" width="17.75390625" style="197" hidden="1" customWidth="1"/>
    <col min="765" max="767" width="2.6875" style="197" hidden="1" customWidth="1"/>
    <col min="768" max="768" width="17.75390625" style="197" hidden="1" customWidth="1"/>
    <col min="769" max="769" width="3.2265625" style="197" hidden="1" customWidth="1"/>
    <col min="770" max="1170" width="0" style="197" hidden="1" customWidth="1"/>
    <col min="1171" max="1171" width="17.75390625" style="197" hidden="1" customWidth="1"/>
    <col min="1172" max="1174" width="2.6875" style="197" hidden="1" customWidth="1"/>
    <col min="1175" max="1175" width="17.75390625" style="197" hidden="1" customWidth="1"/>
    <col min="1176" max="1176" width="3.2265625" style="197" hidden="1" customWidth="1"/>
    <col min="1177" max="1177" width="17.75390625" style="197" hidden="1" customWidth="1"/>
    <col min="1178" max="1180" width="2.6875" style="197" hidden="1" customWidth="1"/>
    <col min="1181" max="1181" width="17.75390625" style="197" hidden="1" customWidth="1"/>
    <col min="1182" max="1182" width="3.2265625" style="197" hidden="1" customWidth="1"/>
    <col min="1183" max="1183" width="17.75390625" style="197" hidden="1" customWidth="1"/>
    <col min="1184" max="1186" width="2.6875" style="197" hidden="1" customWidth="1"/>
    <col min="1187" max="1187" width="17.75390625" style="197" hidden="1" customWidth="1"/>
    <col min="1188" max="1188" width="3.2265625" style="197" hidden="1" customWidth="1"/>
    <col min="1189" max="1189" width="17.75390625" style="197" hidden="1" customWidth="1"/>
    <col min="1190" max="1192" width="2.6875" style="197" hidden="1" customWidth="1"/>
    <col min="1193" max="1193" width="17.75390625" style="197" hidden="1" customWidth="1"/>
    <col min="1194" max="1194" width="3.2265625" style="197" hidden="1" customWidth="1"/>
    <col min="1195" max="1195" width="17.75390625" style="197" hidden="1" customWidth="1"/>
    <col min="1196" max="1198" width="2.6875" style="197" hidden="1" customWidth="1"/>
    <col min="1199" max="1199" width="17.75390625" style="197" hidden="1" customWidth="1"/>
    <col min="1200" max="1200" width="3.2265625" style="197" hidden="1" customWidth="1"/>
    <col min="1201" max="1201" width="17.75390625" style="197" hidden="1" customWidth="1"/>
    <col min="1202" max="1204" width="2.6875" style="197" hidden="1" customWidth="1"/>
    <col min="1205" max="1205" width="17.75390625" style="197" hidden="1" customWidth="1"/>
    <col min="1206" max="1206" width="3.2265625" style="197" hidden="1" customWidth="1"/>
    <col min="1207" max="1207" width="17.75390625" style="197" hidden="1" customWidth="1"/>
    <col min="1208" max="1210" width="2.6875" style="197" hidden="1" customWidth="1"/>
    <col min="1211" max="1211" width="17.75390625" style="197" hidden="1" customWidth="1"/>
    <col min="1212" max="1212" width="3.2265625" style="197" hidden="1" customWidth="1"/>
    <col min="1213" max="1213" width="17.75390625" style="197" hidden="1" customWidth="1"/>
    <col min="1214" max="1216" width="2.6875" style="197" hidden="1" customWidth="1"/>
    <col min="1217" max="1217" width="17.75390625" style="197" hidden="1" customWidth="1"/>
    <col min="1218" max="1218" width="3.2265625" style="197" hidden="1" customWidth="1"/>
    <col min="1219" max="1219" width="17.75390625" style="197" hidden="1" customWidth="1"/>
    <col min="1220" max="1222" width="2.6875" style="197" hidden="1" customWidth="1"/>
    <col min="1223" max="1223" width="17.75390625" style="197" hidden="1" customWidth="1"/>
    <col min="1224" max="1224" width="3.2265625" style="197" hidden="1" customWidth="1"/>
    <col min="1225" max="1225" width="17.75390625" style="197" hidden="1" customWidth="1"/>
    <col min="1226" max="1228" width="2.6875" style="197" hidden="1" customWidth="1"/>
    <col min="1229" max="1229" width="17.75390625" style="197" hidden="1" customWidth="1"/>
    <col min="1230" max="1230" width="3.2265625" style="197" hidden="1" customWidth="1"/>
    <col min="1231" max="1231" width="17.75390625" style="197" hidden="1" customWidth="1"/>
    <col min="1232" max="1234" width="2.6875" style="197" hidden="1" customWidth="1"/>
    <col min="1235" max="1235" width="17.75390625" style="197" hidden="1" customWidth="1"/>
    <col min="1236" max="1236" width="3.2265625" style="197" hidden="1" customWidth="1"/>
    <col min="1237" max="1237" width="17.75390625" style="197" hidden="1" customWidth="1"/>
    <col min="1238" max="1240" width="2.6875" style="197" hidden="1" customWidth="1"/>
    <col min="1241" max="1241" width="17.75390625" style="197" hidden="1" customWidth="1"/>
    <col min="1242" max="1242" width="3.2265625" style="197" hidden="1" customWidth="1"/>
    <col min="1243" max="1243" width="17.75390625" style="197" hidden="1" customWidth="1"/>
    <col min="1244" max="1246" width="2.6875" style="197" hidden="1" customWidth="1"/>
    <col min="1247" max="1247" width="17.75390625" style="197" hidden="1" customWidth="1"/>
    <col min="1248" max="1248" width="3.2265625" style="197" hidden="1" customWidth="1"/>
    <col min="1249" max="1249" width="17.75390625" style="197" hidden="1" customWidth="1"/>
    <col min="1250" max="1252" width="2.6875" style="197" hidden="1" customWidth="1"/>
    <col min="1253" max="1253" width="17.75390625" style="197" hidden="1" customWidth="1"/>
    <col min="1254" max="1254" width="3.2265625" style="197" hidden="1" customWidth="1"/>
    <col min="1255" max="1255" width="17.75390625" style="197" hidden="1" customWidth="1"/>
    <col min="1256" max="1258" width="2.6875" style="197" hidden="1" customWidth="1"/>
    <col min="1259" max="1259" width="17.75390625" style="197" hidden="1" customWidth="1"/>
    <col min="1260" max="1260" width="3.2265625" style="197" hidden="1" customWidth="1"/>
    <col min="1261" max="1261" width="17.75390625" style="197" hidden="1" customWidth="1"/>
    <col min="1262" max="1264" width="2.6875" style="197" hidden="1" customWidth="1"/>
    <col min="1265" max="1265" width="17.75390625" style="197" hidden="1" customWidth="1"/>
    <col min="1266" max="1266" width="3.2265625" style="197" hidden="1" customWidth="1"/>
    <col min="1267" max="1267" width="17.75390625" style="197" hidden="1" customWidth="1"/>
    <col min="1268" max="1270" width="2.6875" style="197" hidden="1" customWidth="1"/>
    <col min="1271" max="1271" width="17.75390625" style="197" hidden="1" customWidth="1"/>
    <col min="1272" max="1272" width="3.2265625" style="197" hidden="1" customWidth="1"/>
    <col min="1273" max="1273" width="0" style="197" hidden="1" customWidth="1"/>
    <col min="1274" max="16384" width="9.14453125" style="197" hidden="1"/>
  </cols>
  <sheetData>
    <row r="1" spans="1:12" ht="104.25" customHeight="1" thickBot="1" x14ac:dyDescent="0.2"/>
    <row r="2" spans="1:12" s="268" customFormat="1" ht="26.25" thickBot="1" x14ac:dyDescent="0.25">
      <c r="A2" s="531" t="s">
        <v>139</v>
      </c>
      <c r="B2" s="532"/>
      <c r="C2" s="532"/>
      <c r="D2" s="532"/>
      <c r="E2" s="532"/>
      <c r="F2" s="532"/>
      <c r="G2" s="532"/>
      <c r="H2" s="532"/>
      <c r="I2" s="532"/>
      <c r="J2" s="532"/>
      <c r="K2" s="532"/>
      <c r="L2" s="533"/>
    </row>
    <row r="3" spans="1:12" s="242" customFormat="1" ht="14.1" customHeight="1" x14ac:dyDescent="0.15">
      <c r="A3" s="542" t="s">
        <v>61</v>
      </c>
      <c r="B3" s="536" t="s">
        <v>62</v>
      </c>
      <c r="C3" s="537"/>
      <c r="D3" s="269" t="s">
        <v>63</v>
      </c>
      <c r="E3" s="540" t="str">
        <f>IF('Classificação 1ª fase'!$E$9=12,'Classificação 1ª fase'!$C5,"1ºA")</f>
        <v>1ºA</v>
      </c>
      <c r="F3" s="540"/>
      <c r="G3" s="540"/>
      <c r="H3" s="540"/>
      <c r="I3" s="541"/>
      <c r="J3" s="206"/>
      <c r="K3" s="527"/>
      <c r="L3" s="528"/>
    </row>
    <row r="4" spans="1:12" s="242" customFormat="1" ht="14.1" customHeight="1" thickBot="1" x14ac:dyDescent="0.2">
      <c r="A4" s="542"/>
      <c r="B4" s="538"/>
      <c r="C4" s="539"/>
      <c r="D4" s="270" t="s">
        <v>64</v>
      </c>
      <c r="E4" s="534" t="str">
        <f>IF('Classificação 1ª fase'!$E$9=12,'Classificação 1ª fase'!$C6,"2ºA")</f>
        <v>2ºA</v>
      </c>
      <c r="F4" s="534"/>
      <c r="G4" s="534"/>
      <c r="H4" s="534"/>
      <c r="I4" s="535"/>
      <c r="J4" s="206"/>
      <c r="K4" s="527"/>
      <c r="L4" s="528"/>
    </row>
    <row r="5" spans="1:12" s="242" customFormat="1" ht="14.1" customHeight="1" x14ac:dyDescent="0.15">
      <c r="A5" s="542"/>
      <c r="B5" s="536" t="s">
        <v>65</v>
      </c>
      <c r="C5" s="537"/>
      <c r="D5" s="269" t="s">
        <v>63</v>
      </c>
      <c r="E5" s="540" t="str">
        <f>IF('Classificação 1ª fase'!$E$15=12,'Classificação 1ª fase'!$C11,"1ºB")</f>
        <v>1ºB</v>
      </c>
      <c r="F5" s="540"/>
      <c r="G5" s="540"/>
      <c r="H5" s="540"/>
      <c r="I5" s="541"/>
      <c r="J5" s="206"/>
      <c r="K5" s="527"/>
      <c r="L5" s="528"/>
    </row>
    <row r="6" spans="1:12" s="242" customFormat="1" ht="14.1" customHeight="1" thickBot="1" x14ac:dyDescent="0.2">
      <c r="A6" s="542"/>
      <c r="B6" s="538"/>
      <c r="C6" s="539"/>
      <c r="D6" s="270" t="s">
        <v>64</v>
      </c>
      <c r="E6" s="534" t="str">
        <f>IF('Classificação 1ª fase'!$E$15=12,'Classificação 1ª fase'!$C12,"2ºB")</f>
        <v>2ºB</v>
      </c>
      <c r="F6" s="534"/>
      <c r="G6" s="534"/>
      <c r="H6" s="534"/>
      <c r="I6" s="535"/>
      <c r="J6" s="206"/>
      <c r="K6" s="527"/>
      <c r="L6" s="528"/>
    </row>
    <row r="7" spans="1:12" s="242" customFormat="1" ht="14.1" customHeight="1" x14ac:dyDescent="0.15">
      <c r="A7" s="542"/>
      <c r="B7" s="536" t="s">
        <v>66</v>
      </c>
      <c r="C7" s="537"/>
      <c r="D7" s="269" t="s">
        <v>63</v>
      </c>
      <c r="E7" s="540" t="str">
        <f>IF('Classificação 1ª fase'!$E$21=12,'Classificação 1ª fase'!$C17,"1ºC")</f>
        <v>1ºC</v>
      </c>
      <c r="F7" s="540"/>
      <c r="G7" s="540"/>
      <c r="H7" s="540"/>
      <c r="I7" s="541"/>
      <c r="J7" s="206"/>
      <c r="K7" s="527"/>
      <c r="L7" s="528"/>
    </row>
    <row r="8" spans="1:12" s="242" customFormat="1" ht="14.1" customHeight="1" thickBot="1" x14ac:dyDescent="0.2">
      <c r="A8" s="542"/>
      <c r="B8" s="538"/>
      <c r="C8" s="539"/>
      <c r="D8" s="270" t="s">
        <v>64</v>
      </c>
      <c r="E8" s="534" t="str">
        <f>IF('Classificação 1ª fase'!$E$21=12,'Classificação 1ª fase'!$C18,"2ºC")</f>
        <v>2ºC</v>
      </c>
      <c r="F8" s="534"/>
      <c r="G8" s="534"/>
      <c r="H8" s="534"/>
      <c r="I8" s="535"/>
      <c r="J8" s="206"/>
      <c r="K8" s="527"/>
      <c r="L8" s="528"/>
    </row>
    <row r="9" spans="1:12" s="242" customFormat="1" ht="14.1" customHeight="1" x14ac:dyDescent="0.15">
      <c r="A9" s="542"/>
      <c r="B9" s="536" t="s">
        <v>67</v>
      </c>
      <c r="C9" s="537"/>
      <c r="D9" s="269" t="s">
        <v>63</v>
      </c>
      <c r="E9" s="540" t="str">
        <f>IF('Classificação 1ª fase'!$E$27=12,'Classificação 1ª fase'!$C23,"1ºD")</f>
        <v>1ºD</v>
      </c>
      <c r="F9" s="540"/>
      <c r="G9" s="540"/>
      <c r="H9" s="540"/>
      <c r="I9" s="541"/>
      <c r="J9" s="206"/>
      <c r="K9" s="527"/>
      <c r="L9" s="528"/>
    </row>
    <row r="10" spans="1:12" s="242" customFormat="1" ht="14.1" customHeight="1" thickBot="1" x14ac:dyDescent="0.2">
      <c r="A10" s="542"/>
      <c r="B10" s="538"/>
      <c r="C10" s="539"/>
      <c r="D10" s="270" t="s">
        <v>64</v>
      </c>
      <c r="E10" s="534" t="str">
        <f>IF('Classificação 1ª fase'!$E$27=12,'Classificação 1ª fase'!$C24,"2ºD")</f>
        <v>2ºD</v>
      </c>
      <c r="F10" s="534"/>
      <c r="G10" s="534"/>
      <c r="H10" s="534"/>
      <c r="I10" s="535"/>
      <c r="J10" s="206"/>
      <c r="K10" s="527"/>
      <c r="L10" s="528"/>
    </row>
    <row r="11" spans="1:12" s="242" customFormat="1" ht="14.1" customHeight="1" x14ac:dyDescent="0.15">
      <c r="A11" s="542"/>
      <c r="B11" s="536" t="s">
        <v>68</v>
      </c>
      <c r="C11" s="537"/>
      <c r="D11" s="269" t="s">
        <v>63</v>
      </c>
      <c r="E11" s="540" t="str">
        <f>IF('Classificação 1ª fase'!$E$33=12,'Classificação 1ª fase'!$C29,"1ºE")</f>
        <v>1ºE</v>
      </c>
      <c r="F11" s="540"/>
      <c r="G11" s="540"/>
      <c r="H11" s="540"/>
      <c r="I11" s="541"/>
      <c r="J11" s="206"/>
      <c r="K11" s="527"/>
      <c r="L11" s="528"/>
    </row>
    <row r="12" spans="1:12" s="242" customFormat="1" ht="14.1" customHeight="1" thickBot="1" x14ac:dyDescent="0.2">
      <c r="A12" s="542"/>
      <c r="B12" s="538"/>
      <c r="C12" s="539"/>
      <c r="D12" s="270" t="s">
        <v>64</v>
      </c>
      <c r="E12" s="534" t="str">
        <f>IF('Classificação 1ª fase'!$E$33=12,'Classificação 1ª fase'!$C30,"2ºE")</f>
        <v>2ºE</v>
      </c>
      <c r="F12" s="534"/>
      <c r="G12" s="534"/>
      <c r="H12" s="534"/>
      <c r="I12" s="535"/>
      <c r="J12" s="206"/>
      <c r="K12" s="527"/>
      <c r="L12" s="528"/>
    </row>
    <row r="13" spans="1:12" s="242" customFormat="1" ht="14.1" customHeight="1" x14ac:dyDescent="0.15">
      <c r="A13" s="542"/>
      <c r="B13" s="536" t="s">
        <v>69</v>
      </c>
      <c r="C13" s="537"/>
      <c r="D13" s="269" t="s">
        <v>63</v>
      </c>
      <c r="E13" s="540" t="str">
        <f>IF('Classificação 1ª fase'!$E$39=12,'Classificação 1ª fase'!$C35,"1ºF")</f>
        <v>1ºF</v>
      </c>
      <c r="F13" s="540"/>
      <c r="G13" s="540"/>
      <c r="H13" s="540"/>
      <c r="I13" s="541"/>
      <c r="J13" s="206"/>
      <c r="K13" s="527"/>
      <c r="L13" s="528"/>
    </row>
    <row r="14" spans="1:12" s="242" customFormat="1" ht="14.1" customHeight="1" thickBot="1" x14ac:dyDescent="0.2">
      <c r="A14" s="542"/>
      <c r="B14" s="538"/>
      <c r="C14" s="539"/>
      <c r="D14" s="270" t="s">
        <v>64</v>
      </c>
      <c r="E14" s="534" t="str">
        <f>IF('Classificação 1ª fase'!$E$39=12,'Classificação 1ª fase'!$C36,"2ºF")</f>
        <v>2ºF</v>
      </c>
      <c r="F14" s="534"/>
      <c r="G14" s="534"/>
      <c r="H14" s="534"/>
      <c r="I14" s="535"/>
      <c r="J14" s="206"/>
      <c r="K14" s="527"/>
      <c r="L14" s="528"/>
    </row>
    <row r="15" spans="1:12" s="242" customFormat="1" ht="14.1" customHeight="1" x14ac:dyDescent="0.15">
      <c r="A15" s="542"/>
      <c r="B15" s="536" t="s">
        <v>71</v>
      </c>
      <c r="C15" s="537"/>
      <c r="D15" s="269" t="s">
        <v>63</v>
      </c>
      <c r="E15" s="540" t="str">
        <f>IF('Classificação 1ª fase'!$E$45=12,'Classificação 1ª fase'!$C41,"1ºG")</f>
        <v>1ºG</v>
      </c>
      <c r="F15" s="540"/>
      <c r="G15" s="540"/>
      <c r="H15" s="540"/>
      <c r="I15" s="541"/>
      <c r="J15" s="206"/>
      <c r="K15" s="527"/>
      <c r="L15" s="528"/>
    </row>
    <row r="16" spans="1:12" s="242" customFormat="1" ht="14.1" customHeight="1" thickBot="1" x14ac:dyDescent="0.2">
      <c r="A16" s="542"/>
      <c r="B16" s="538"/>
      <c r="C16" s="539"/>
      <c r="D16" s="270" t="s">
        <v>64</v>
      </c>
      <c r="E16" s="534" t="str">
        <f>IF('Classificação 1ª fase'!$E$45=12,'Classificação 1ª fase'!$C42,"2ºG")</f>
        <v>2ºG</v>
      </c>
      <c r="F16" s="534"/>
      <c r="G16" s="534"/>
      <c r="H16" s="534"/>
      <c r="I16" s="535"/>
      <c r="J16" s="206"/>
      <c r="K16" s="527"/>
      <c r="L16" s="528"/>
    </row>
    <row r="17" spans="1:12" s="242" customFormat="1" ht="14.1" customHeight="1" x14ac:dyDescent="0.15">
      <c r="A17" s="542"/>
      <c r="B17" s="536" t="s">
        <v>72</v>
      </c>
      <c r="C17" s="537"/>
      <c r="D17" s="269" t="s">
        <v>63</v>
      </c>
      <c r="E17" s="540" t="str">
        <f>IF('Classificação 1ª fase'!$E$51=12,'Classificação 1ª fase'!$C47,"1ºH")</f>
        <v>1ºH</v>
      </c>
      <c r="F17" s="540"/>
      <c r="G17" s="540"/>
      <c r="H17" s="540"/>
      <c r="I17" s="541"/>
      <c r="J17" s="206"/>
      <c r="K17" s="527"/>
      <c r="L17" s="528"/>
    </row>
    <row r="18" spans="1:12" s="242" customFormat="1" ht="14.1" customHeight="1" thickBot="1" x14ac:dyDescent="0.2">
      <c r="A18" s="543"/>
      <c r="B18" s="538"/>
      <c r="C18" s="539"/>
      <c r="D18" s="270" t="s">
        <v>64</v>
      </c>
      <c r="E18" s="534" t="str">
        <f>IF('Classificação 1ª fase'!$E$51=12,'Classificação 1ª fase'!$C48,"2ºH")</f>
        <v>2ºH</v>
      </c>
      <c r="F18" s="534"/>
      <c r="G18" s="534"/>
      <c r="H18" s="534"/>
      <c r="I18" s="535"/>
      <c r="J18" s="271"/>
      <c r="K18" s="529"/>
      <c r="L18" s="530"/>
    </row>
    <row r="19" spans="1:12" s="242" customFormat="1" ht="14.1" customHeight="1" thickBot="1" x14ac:dyDescent="0.2">
      <c r="A19" s="272" t="s">
        <v>73</v>
      </c>
      <c r="B19" s="273" t="s">
        <v>74</v>
      </c>
      <c r="C19" s="274" t="s">
        <v>75</v>
      </c>
      <c r="D19" s="275" t="s">
        <v>76</v>
      </c>
      <c r="E19" s="545" t="s">
        <v>77</v>
      </c>
      <c r="F19" s="545"/>
      <c r="G19" s="545"/>
      <c r="H19" s="545"/>
      <c r="I19" s="546"/>
      <c r="J19" s="206"/>
      <c r="K19" s="551" t="s">
        <v>78</v>
      </c>
      <c r="L19" s="552"/>
    </row>
    <row r="20" spans="1:12" ht="14.1" customHeight="1" x14ac:dyDescent="0.15">
      <c r="A20" s="254"/>
      <c r="B20" s="255"/>
      <c r="C20" s="256"/>
      <c r="D20" s="276">
        <v>49</v>
      </c>
      <c r="E20" s="277" t="str">
        <f>IF(E3="","1ºA",E3)</f>
        <v>1ºA</v>
      </c>
      <c r="F20" s="278" t="str">
        <f>IF(Copa2022!F62="","",Copa2022!F62)</f>
        <v/>
      </c>
      <c r="G20" s="279" t="s">
        <v>0</v>
      </c>
      <c r="H20" s="279" t="str">
        <f>IF(Copa2022!H62="","",Copa2022!H62)</f>
        <v/>
      </c>
      <c r="I20" s="280" t="str">
        <f>IF(E6="","2ºB",E6)</f>
        <v>2ºB</v>
      </c>
      <c r="J20" s="226" t="str">
        <f>IF(AND(F20="",H20=""),"não jogou",IF(F20=H20,"penaltis",""))</f>
        <v>não jogou</v>
      </c>
      <c r="K20" s="281" t="str">
        <f>IF(Copa2022!K62="","",Copa2022!K62)</f>
        <v/>
      </c>
      <c r="L20" s="282" t="str">
        <f>IF(Copa2022!L62="","",Copa2022!L62)</f>
        <v/>
      </c>
    </row>
    <row r="21" spans="1:12" ht="14.1" customHeight="1" x14ac:dyDescent="0.15">
      <c r="A21" s="257"/>
      <c r="B21" s="258"/>
      <c r="C21" s="259"/>
      <c r="D21" s="283">
        <v>50</v>
      </c>
      <c r="E21" s="249" t="str">
        <f>IF(E7="","1ºC",E7)</f>
        <v>1ºC</v>
      </c>
      <c r="F21" s="284" t="str">
        <f>IF(Copa2022!F63="","",Copa2022!F63)</f>
        <v/>
      </c>
      <c r="G21" s="285" t="s">
        <v>0</v>
      </c>
      <c r="H21" s="285" t="str">
        <f>IF(Copa2022!H63="","",Copa2022!H63)</f>
        <v/>
      </c>
      <c r="I21" s="286" t="str">
        <f>IF(E10="","2ºD",E10)</f>
        <v>2ºD</v>
      </c>
      <c r="J21" s="226" t="str">
        <f t="shared" ref="J21:J32" si="0">IF(AND(F21="",H21=""),"não jogou",IF(F21=H21,"penaltis",""))</f>
        <v>não jogou</v>
      </c>
      <c r="K21" s="287" t="str">
        <f>IF(Copa2022!K63="","",Copa2022!K63)</f>
        <v/>
      </c>
      <c r="L21" s="288" t="str">
        <f>IF(Copa2022!L63="","",Copa2022!L63)</f>
        <v/>
      </c>
    </row>
    <row r="22" spans="1:12" ht="14.1" customHeight="1" x14ac:dyDescent="0.15">
      <c r="A22" s="257"/>
      <c r="B22" s="258"/>
      <c r="C22" s="259"/>
      <c r="D22" s="283">
        <v>51</v>
      </c>
      <c r="E22" s="249" t="str">
        <f>IF(E9="","1ºB",E5)</f>
        <v>1ºB</v>
      </c>
      <c r="F22" s="284" t="str">
        <f>IF(Copa2022!F64="","",Copa2022!F64)</f>
        <v/>
      </c>
      <c r="G22" s="285" t="s">
        <v>0</v>
      </c>
      <c r="H22" s="285" t="str">
        <f>IF(Copa2022!H64="","",Copa2022!H64)</f>
        <v/>
      </c>
      <c r="I22" s="286" t="str">
        <f>IF(E8="","2ºA",E4)</f>
        <v>2ºA</v>
      </c>
      <c r="J22" s="226" t="str">
        <f t="shared" si="0"/>
        <v>não jogou</v>
      </c>
      <c r="K22" s="287" t="str">
        <f>IF(Copa2022!K64="","",Copa2022!K64)</f>
        <v/>
      </c>
      <c r="L22" s="288" t="str">
        <f>IF(Copa2022!L64="","",Copa2022!L64)</f>
        <v/>
      </c>
    </row>
    <row r="23" spans="1:12" ht="14.1" customHeight="1" x14ac:dyDescent="0.15">
      <c r="A23" s="257"/>
      <c r="B23" s="258"/>
      <c r="C23" s="259"/>
      <c r="D23" s="283">
        <v>52</v>
      </c>
      <c r="E23" s="249" t="str">
        <f>IF(E5="","1ºD",E9)</f>
        <v>1ºD</v>
      </c>
      <c r="F23" s="284" t="str">
        <f>IF(Copa2022!F65="","",Copa2022!F65)</f>
        <v/>
      </c>
      <c r="G23" s="285" t="s">
        <v>0</v>
      </c>
      <c r="H23" s="285" t="str">
        <f>IF(Copa2022!H65="","",Copa2022!H65)</f>
        <v/>
      </c>
      <c r="I23" s="286" t="str">
        <f>IF(E4="","2ºC",E8)</f>
        <v>2ºC</v>
      </c>
      <c r="J23" s="226" t="str">
        <f t="shared" si="0"/>
        <v>não jogou</v>
      </c>
      <c r="K23" s="287" t="str">
        <f>IF(Copa2022!K65="","",Copa2022!K65)</f>
        <v/>
      </c>
      <c r="L23" s="288" t="str">
        <f>IF(Copa2022!L65="","",Copa2022!L65)</f>
        <v/>
      </c>
    </row>
    <row r="24" spans="1:12" ht="14.1" customHeight="1" x14ac:dyDescent="0.15">
      <c r="A24" s="257"/>
      <c r="B24" s="258"/>
      <c r="C24" s="259"/>
      <c r="D24" s="283">
        <v>53</v>
      </c>
      <c r="E24" s="249" t="str">
        <f>IF(E11="","1ºE",E11)</f>
        <v>1ºE</v>
      </c>
      <c r="F24" s="284" t="str">
        <f>IF(Copa2022!F66="","",Copa2022!F66)</f>
        <v/>
      </c>
      <c r="G24" s="285" t="s">
        <v>0</v>
      </c>
      <c r="H24" s="285" t="str">
        <f>IF(Copa2022!H66="","",Copa2022!H66)</f>
        <v/>
      </c>
      <c r="I24" s="286" t="str">
        <f>IF(E14="","2ºF",E14)</f>
        <v>2ºF</v>
      </c>
      <c r="J24" s="226" t="str">
        <f t="shared" si="0"/>
        <v>não jogou</v>
      </c>
      <c r="K24" s="287" t="str">
        <f>IF(Copa2022!K66="","",Copa2022!K66)</f>
        <v/>
      </c>
      <c r="L24" s="288" t="str">
        <f>IF(Copa2022!L66="","",Copa2022!L66)</f>
        <v/>
      </c>
    </row>
    <row r="25" spans="1:12" ht="14.1" customHeight="1" x14ac:dyDescent="0.15">
      <c r="A25" s="257"/>
      <c r="B25" s="258"/>
      <c r="C25" s="259"/>
      <c r="D25" s="283">
        <v>54</v>
      </c>
      <c r="E25" s="249" t="str">
        <f>IF(E15="","1ºG",E15)</f>
        <v>1ºG</v>
      </c>
      <c r="F25" s="284" t="str">
        <f>IF(Copa2022!F67="","",Copa2022!F67)</f>
        <v/>
      </c>
      <c r="G25" s="285" t="s">
        <v>0</v>
      </c>
      <c r="H25" s="285" t="str">
        <f>IF(Copa2022!H67="","",Copa2022!H67)</f>
        <v/>
      </c>
      <c r="I25" s="286" t="str">
        <f>IF(E18="","2ºH",E18)</f>
        <v>2ºH</v>
      </c>
      <c r="J25" s="226" t="str">
        <f t="shared" si="0"/>
        <v>não jogou</v>
      </c>
      <c r="K25" s="287" t="str">
        <f>IF(Copa2022!K67="","",Copa2022!K67)</f>
        <v/>
      </c>
      <c r="L25" s="288" t="str">
        <f>IF(Copa2022!L67="","",Copa2022!L67)</f>
        <v/>
      </c>
    </row>
    <row r="26" spans="1:12" ht="14.1" customHeight="1" x14ac:dyDescent="0.15">
      <c r="A26" s="257"/>
      <c r="B26" s="258"/>
      <c r="C26" s="259"/>
      <c r="D26" s="283">
        <v>55</v>
      </c>
      <c r="E26" s="249" t="str">
        <f>IF(E13="","1ºF",E13)</f>
        <v>1ºF</v>
      </c>
      <c r="F26" s="284" t="str">
        <f>IF(Copa2022!F68="","",Copa2022!F68)</f>
        <v/>
      </c>
      <c r="G26" s="285" t="s">
        <v>0</v>
      </c>
      <c r="H26" s="285" t="str">
        <f>IF(Copa2022!H68="","",Copa2022!H68)</f>
        <v/>
      </c>
      <c r="I26" s="286" t="str">
        <f>IF(E12="","2ºE",E12)</f>
        <v>2ºE</v>
      </c>
      <c r="J26" s="226" t="str">
        <f t="shared" si="0"/>
        <v>não jogou</v>
      </c>
      <c r="K26" s="287" t="str">
        <f>IF(Copa2022!K68="","",Copa2022!K68)</f>
        <v/>
      </c>
      <c r="L26" s="288" t="str">
        <f>IF(Copa2022!L68="","",Copa2022!L68)</f>
        <v/>
      </c>
    </row>
    <row r="27" spans="1:12" ht="14.1" customHeight="1" thickBot="1" x14ac:dyDescent="0.2">
      <c r="A27" s="260"/>
      <c r="B27" s="261"/>
      <c r="C27" s="262"/>
      <c r="D27" s="289">
        <v>56</v>
      </c>
      <c r="E27" s="290" t="str">
        <f>IF(E17="","1ºH",E17)</f>
        <v>1ºH</v>
      </c>
      <c r="F27" s="291" t="str">
        <f>IF(Copa2022!F69="","",Copa2022!F69)</f>
        <v/>
      </c>
      <c r="G27" s="292" t="s">
        <v>0</v>
      </c>
      <c r="H27" s="292" t="str">
        <f>IF(Copa2022!H69="","",Copa2022!H69)</f>
        <v/>
      </c>
      <c r="I27" s="293" t="str">
        <f>IF(E16="","2ºG",E16)</f>
        <v>2ºG</v>
      </c>
      <c r="J27" s="294" t="str">
        <f t="shared" si="0"/>
        <v>não jogou</v>
      </c>
      <c r="K27" s="287" t="str">
        <f>IF(Copa2022!K69="","",Copa2022!K69)</f>
        <v/>
      </c>
      <c r="L27" s="288" t="str">
        <f>IF(Copa2022!L69="","",Copa2022!L69)</f>
        <v/>
      </c>
    </row>
    <row r="28" spans="1:12" ht="14.1" customHeight="1" thickBot="1" x14ac:dyDescent="0.2">
      <c r="A28" s="295" t="s">
        <v>73</v>
      </c>
      <c r="B28" s="206" t="s">
        <v>74</v>
      </c>
      <c r="C28" s="296" t="s">
        <v>75</v>
      </c>
      <c r="D28" s="275" t="s">
        <v>76</v>
      </c>
      <c r="E28" s="544" t="s">
        <v>79</v>
      </c>
      <c r="F28" s="545"/>
      <c r="G28" s="545"/>
      <c r="H28" s="545"/>
      <c r="I28" s="546"/>
      <c r="J28" s="206"/>
      <c r="K28" s="549" t="s">
        <v>78</v>
      </c>
      <c r="L28" s="550"/>
    </row>
    <row r="29" spans="1:12" ht="14.1" customHeight="1" x14ac:dyDescent="0.15">
      <c r="A29" s="254"/>
      <c r="B29" s="255"/>
      <c r="C29" s="256"/>
      <c r="D29" s="276">
        <v>57</v>
      </c>
      <c r="E29" s="297" t="str">
        <f>IF(J20="não jogou","venc.49",IF(F20&gt;H20,E20,IF(F20&lt;H20,I20,IF(AND(J20="penaltis",K20="",L20=""),"venc.49",IF(K20&gt;L20,E20,I20)))))</f>
        <v>venc.49</v>
      </c>
      <c r="F29" s="278" t="str">
        <f>IF(Copa2022!F71="","",Copa2022!F71)</f>
        <v/>
      </c>
      <c r="G29" s="279" t="s">
        <v>0</v>
      </c>
      <c r="H29" s="279" t="str">
        <f>IF(Copa2022!H71="","",Copa2022!H71)</f>
        <v/>
      </c>
      <c r="I29" s="280" t="str">
        <f>IF(J21="não jogou","venc.50",IF(F21&gt;H21,E21,IF(F21&lt;H21,I21,IF(AND(J21="penaltis",K21="",L21=""),"venc.50",IF(K21&gt;L21,E21,I21)))))</f>
        <v>venc.50</v>
      </c>
      <c r="J29" s="298" t="str">
        <f t="shared" si="0"/>
        <v>não jogou</v>
      </c>
      <c r="K29" s="287" t="str">
        <f>IF(Copa2022!K71="","",Copa2022!K71)</f>
        <v/>
      </c>
      <c r="L29" s="288" t="str">
        <f>IF(Copa2022!L71="","",Copa2022!L71)</f>
        <v/>
      </c>
    </row>
    <row r="30" spans="1:12" ht="14.1" customHeight="1" x14ac:dyDescent="0.15">
      <c r="A30" s="257"/>
      <c r="B30" s="258"/>
      <c r="C30" s="259"/>
      <c r="D30" s="299">
        <v>58</v>
      </c>
      <c r="E30" s="297" t="str">
        <f>IF(J24="não jogou","venc.53",IF(F24&gt;H24,E24,IF(F24&lt;H24,I24,IF(AND(J24="penaltis",K24="",L24=""),"venc.53",IF(K24&gt;L24,E24,I24)))))</f>
        <v>venc.53</v>
      </c>
      <c r="F30" s="284" t="str">
        <f>IF(Copa2022!F72="","",Copa2022!F72)</f>
        <v/>
      </c>
      <c r="G30" s="285" t="s">
        <v>0</v>
      </c>
      <c r="H30" s="285" t="str">
        <f>IF(Copa2022!H72="","",Copa2022!H72)</f>
        <v/>
      </c>
      <c r="I30" s="286" t="str">
        <f>IF(J25="não jogou","venc.54",IF(F25&gt;H25,E25,IF(F25&lt;H25,I25,IF(AND(J25="penaltis",K25="",L25=""),"venc.54",IF(K25&gt;L25,E25,I25)))))</f>
        <v>venc.54</v>
      </c>
      <c r="J30" s="300" t="str">
        <f t="shared" si="0"/>
        <v>não jogou</v>
      </c>
      <c r="K30" s="287" t="str">
        <f>IF(Copa2022!K72="","",Copa2022!K72)</f>
        <v/>
      </c>
      <c r="L30" s="288" t="str">
        <f>IF(Copa2022!L72="","",Copa2022!L72)</f>
        <v/>
      </c>
    </row>
    <row r="31" spans="1:12" ht="14.1" customHeight="1" x14ac:dyDescent="0.15">
      <c r="A31" s="257"/>
      <c r="B31" s="258"/>
      <c r="C31" s="259"/>
      <c r="D31" s="299">
        <v>59</v>
      </c>
      <c r="E31" s="297" t="str">
        <f>IF(J22="não jogou","venc.51",IF(F22&gt;H22,E22,IF(F22&lt;H22,I22,IF(AND(J22="penaltis",K22="",L22=""),"venc.51",IF(K22&gt;L22,E22,I22)))))</f>
        <v>venc.51</v>
      </c>
      <c r="F31" s="284" t="str">
        <f>IF(Copa2022!F73="","",Copa2022!F73)</f>
        <v/>
      </c>
      <c r="G31" s="285" t="s">
        <v>0</v>
      </c>
      <c r="H31" s="285" t="str">
        <f>IF(Copa2022!H73="","",Copa2022!H73)</f>
        <v/>
      </c>
      <c r="I31" s="286" t="str">
        <f>IF(J23="não jogou","venc.52",IF(F23&gt;H23,E23,IF(F23&lt;H23,I23,IF(AND(J23="penaltis",K23="",L23=""),"venc.52",IF(K23&gt;L23,E23,I23)))))</f>
        <v>venc.52</v>
      </c>
      <c r="J31" s="226" t="str">
        <f t="shared" si="0"/>
        <v>não jogou</v>
      </c>
      <c r="K31" s="287" t="str">
        <f>IF(Copa2022!K73="","",Copa2022!K73)</f>
        <v/>
      </c>
      <c r="L31" s="288" t="str">
        <f>IF(Copa2022!L73="","",Copa2022!L73)</f>
        <v/>
      </c>
    </row>
    <row r="32" spans="1:12" ht="14.1" customHeight="1" thickBot="1" x14ac:dyDescent="0.2">
      <c r="A32" s="260"/>
      <c r="B32" s="261"/>
      <c r="C32" s="262"/>
      <c r="D32" s="301">
        <v>60</v>
      </c>
      <c r="E32" s="302" t="str">
        <f>IF(J26="não jogou","venc.55",IF(F26&gt;H26,E26,IF(F26&lt;H26,I26,IF(AND(J26="penaltis",K26="",L26=""),"venc.55",IF(K26&gt;L26,E26,I26)))))</f>
        <v>venc.55</v>
      </c>
      <c r="F32" s="303" t="str">
        <f>IF(Copa2022!F74="","",Copa2022!F74)</f>
        <v/>
      </c>
      <c r="G32" s="304" t="s">
        <v>0</v>
      </c>
      <c r="H32" s="304" t="str">
        <f>IF(Copa2022!H74="","",Copa2022!H74)</f>
        <v/>
      </c>
      <c r="I32" s="305" t="str">
        <f>IF(J27="não jogou","venc.56",IF(F27&gt;H27,E27,IF(F27&lt;H27,I27,IF(AND(J27="penaltis",K27="",L27=""),"venc.56",IF(K27&gt;L27,E27,I27)))))</f>
        <v>venc.56</v>
      </c>
      <c r="J32" s="294" t="str">
        <f t="shared" si="0"/>
        <v>não jogou</v>
      </c>
      <c r="K32" s="287" t="str">
        <f>IF(Copa2022!K74="","",Copa2022!K74)</f>
        <v/>
      </c>
      <c r="L32" s="288" t="str">
        <f>IF(Copa2022!L74="","",Copa2022!L74)</f>
        <v/>
      </c>
    </row>
    <row r="33" spans="1:12" ht="14.1" customHeight="1" thickBot="1" x14ac:dyDescent="0.2">
      <c r="A33" s="295" t="s">
        <v>73</v>
      </c>
      <c r="B33" s="206" t="s">
        <v>74</v>
      </c>
      <c r="C33" s="296" t="s">
        <v>75</v>
      </c>
      <c r="D33" s="275" t="s">
        <v>76</v>
      </c>
      <c r="E33" s="544" t="s">
        <v>80</v>
      </c>
      <c r="F33" s="545"/>
      <c r="G33" s="545"/>
      <c r="H33" s="545"/>
      <c r="I33" s="546"/>
      <c r="J33" s="206"/>
      <c r="K33" s="547" t="s">
        <v>78</v>
      </c>
      <c r="L33" s="548"/>
    </row>
    <row r="34" spans="1:12" ht="14.1" customHeight="1" x14ac:dyDescent="0.15">
      <c r="A34" s="254"/>
      <c r="B34" s="255"/>
      <c r="C34" s="256"/>
      <c r="D34" s="276">
        <v>61</v>
      </c>
      <c r="E34" s="297" t="str">
        <f>IF(J29="não jogou","venc.57",IF(F29&gt;H29,E29,IF(F29&lt;H29,I29,IF(AND(J29="penaltis",K29="",L29=""),"venc.57",IF(K29&gt;L29,E29,I29)))))</f>
        <v>venc.57</v>
      </c>
      <c r="F34" s="278" t="str">
        <f>IF(Copa2022!F76="","",Copa2022!F76)</f>
        <v/>
      </c>
      <c r="G34" s="279" t="s">
        <v>0</v>
      </c>
      <c r="H34" s="279" t="str">
        <f>IF(Copa2022!H76="","",Copa2022!H76)</f>
        <v/>
      </c>
      <c r="I34" s="306" t="str">
        <f>IF(J30="não jogou","venc.58",IF(F30&gt;H30,E30,IF(F30&lt;H30,I30,IF(AND(J30="penaltis",K30="",L30=""),"venc.58",IF(K30&gt;L30,E30,I30)))))</f>
        <v>venc.58</v>
      </c>
      <c r="J34" s="298" t="str">
        <f>IF(AND(F34="",H34=""),"não jogou",IF(F34=H34,"penaltis",""))</f>
        <v>não jogou</v>
      </c>
      <c r="K34" s="287" t="str">
        <f>IF(Copa2022!K76="","",Copa2022!K76)</f>
        <v/>
      </c>
      <c r="L34" s="288" t="str">
        <f>IF(Copa2022!L76="","",Copa2022!L76)</f>
        <v/>
      </c>
    </row>
    <row r="35" spans="1:12" ht="14.1" customHeight="1" thickBot="1" x14ac:dyDescent="0.2">
      <c r="A35" s="263"/>
      <c r="B35" s="261"/>
      <c r="C35" s="262"/>
      <c r="D35" s="289">
        <v>62</v>
      </c>
      <c r="E35" s="302" t="str">
        <f>IF(J31="não jogou","venc.59",IF(F31&gt;H31,E31,IF(F31&lt;H31,I31,IF(AND(J31="penaltis",K31="",L31=""),"venc.59",IF(K31&gt;L31,E31,I31)))))</f>
        <v>venc.59</v>
      </c>
      <c r="F35" s="303" t="str">
        <f>IF(Copa2022!F77="","",Copa2022!F77)</f>
        <v/>
      </c>
      <c r="G35" s="304" t="s">
        <v>0</v>
      </c>
      <c r="H35" s="304" t="str">
        <f>IF(Copa2022!H77="","",Copa2022!H77)</f>
        <v/>
      </c>
      <c r="I35" s="305" t="str">
        <f>IF(J32="não jogou","venc.60",IF(F32&gt;H32,E32,IF(F32&lt;H32,I32,IF(AND(J32="penaltis",K32="",L32=""),"venc.60",IF(K32&gt;L32,E32,I32)))))</f>
        <v>venc.60</v>
      </c>
      <c r="J35" s="307" t="str">
        <f>IF(AND(F35="",H35=""),"não jogou",IF(F35=H35,"penaltis",""))</f>
        <v>não jogou</v>
      </c>
      <c r="K35" s="287" t="str">
        <f>IF(Copa2022!K77="","",Copa2022!K77)</f>
        <v/>
      </c>
      <c r="L35" s="288" t="str">
        <f>IF(Copa2022!L77="","",Copa2022!L77)</f>
        <v/>
      </c>
    </row>
    <row r="36" spans="1:12" ht="14.1" customHeight="1" thickBot="1" x14ac:dyDescent="0.2">
      <c r="A36" s="295" t="s">
        <v>73</v>
      </c>
      <c r="B36" s="206" t="s">
        <v>74</v>
      </c>
      <c r="C36" s="296" t="s">
        <v>75</v>
      </c>
      <c r="D36" s="275" t="s">
        <v>76</v>
      </c>
      <c r="E36" s="544" t="s">
        <v>81</v>
      </c>
      <c r="F36" s="545"/>
      <c r="G36" s="545"/>
      <c r="H36" s="545"/>
      <c r="I36" s="546"/>
      <c r="J36" s="206"/>
      <c r="K36" s="547" t="s">
        <v>78</v>
      </c>
      <c r="L36" s="548"/>
    </row>
    <row r="37" spans="1:12" ht="14.1" customHeight="1" thickBot="1" x14ac:dyDescent="0.2">
      <c r="A37" s="264"/>
      <c r="B37" s="265"/>
      <c r="C37" s="266"/>
      <c r="D37" s="308">
        <v>63</v>
      </c>
      <c r="E37" s="302" t="str">
        <f>IF($J$34="não jogou","perd.61",IF($F$34&gt;$H$34,$I$34,IF($F$34&lt;$H$34,$E$34,IF(AND($J$34="penaltis",$K$34="",$L$34=""),"venc.61",IF($K$34&gt;$L$34,$I$34,$E$34)))))</f>
        <v>perd.61</v>
      </c>
      <c r="F37" s="303" t="str">
        <f>IF(Copa2022!F79="","",Copa2022!F79)</f>
        <v/>
      </c>
      <c r="G37" s="304" t="s">
        <v>0</v>
      </c>
      <c r="H37" s="304" t="str">
        <f>IF(Copa2022!H79="","",Copa2022!H79)</f>
        <v/>
      </c>
      <c r="I37" s="305" t="str">
        <f>IF($J$35="não jogou","perd.62",IF($F$35&lt;$H$35,$E$35,IF($F$35&gt;$H$35,$I$35,IF(AND($J$35="penaltis",$K$35="",$L$35=""),"perd.62",IF($K$35&lt;$L$35,$E$35,$I$35)))))</f>
        <v>perd.62</v>
      </c>
      <c r="J37" s="309" t="str">
        <f>IF(AND(F37="",H37=""),"não jogou",IF(F37=H37,"penaltis",""))</f>
        <v>não jogou</v>
      </c>
      <c r="K37" s="287" t="str">
        <f>IF(Copa2022!K79="","",Copa2022!K79)</f>
        <v/>
      </c>
      <c r="L37" s="288" t="str">
        <f>IF(Copa2022!L79="","",Copa2022!L79)</f>
        <v/>
      </c>
    </row>
    <row r="38" spans="1:12" ht="14.1" customHeight="1" thickBot="1" x14ac:dyDescent="0.2">
      <c r="A38" s="295" t="s">
        <v>73</v>
      </c>
      <c r="B38" s="206" t="s">
        <v>74</v>
      </c>
      <c r="C38" s="296" t="s">
        <v>75</v>
      </c>
      <c r="D38" s="275" t="s">
        <v>76</v>
      </c>
      <c r="E38" s="544" t="s">
        <v>82</v>
      </c>
      <c r="F38" s="545"/>
      <c r="G38" s="545"/>
      <c r="H38" s="545"/>
      <c r="I38" s="546"/>
      <c r="J38" s="206"/>
      <c r="K38" s="547" t="s">
        <v>78</v>
      </c>
      <c r="L38" s="548"/>
    </row>
    <row r="39" spans="1:12" ht="14.1" customHeight="1" thickBot="1" x14ac:dyDescent="0.2">
      <c r="A39" s="264"/>
      <c r="B39" s="265"/>
      <c r="C39" s="266"/>
      <c r="D39" s="310">
        <v>64</v>
      </c>
      <c r="E39" s="311" t="str">
        <f>IF($J$34="não jogou","venc.61",IF($F$34&lt;$H$34,$I$34,IF($F$34&gt;$H$34,$E$34,IF(AND($J$34="penaltis",$K$34="",$L$34=""),"perd.61",IF($K$34&lt;$L$34,$I$34,$E$34)))))</f>
        <v>venc.61</v>
      </c>
      <c r="F39" s="303" t="str">
        <f>IF(Copa2022!F81="","",Copa2022!F81)</f>
        <v/>
      </c>
      <c r="G39" s="304" t="s">
        <v>0</v>
      </c>
      <c r="H39" s="304" t="str">
        <f>IF(Copa2022!H81="","",Copa2022!H81)</f>
        <v/>
      </c>
      <c r="I39" s="305" t="str">
        <f>IF($J$35="não jogou","venc.62",IF($F$35&gt;$H$35,$E$35,IF($F$35&lt;$H$35,$I$35,IF(AND($J$35="penaltis",$K$35="",$L$35=""),"venc.62",IF($K$35&gt;$L$35,$E$35,$I$35)))))</f>
        <v>venc.62</v>
      </c>
      <c r="J39" s="294" t="str">
        <f>IF(AND(F39="",H39=""),"não jogou",IF(F39=H39,"penaltis",""))</f>
        <v>não jogou</v>
      </c>
      <c r="K39" s="287" t="str">
        <f>IF(Copa2022!K81="","",Copa2022!K81)</f>
        <v/>
      </c>
      <c r="L39" s="288" t="str">
        <f>IF(Copa2022!L81="","",Copa2022!L81)</f>
        <v/>
      </c>
    </row>
    <row r="40" spans="1:12" ht="15" thickBot="1" x14ac:dyDescent="0.2">
      <c r="A40" s="553" t="s">
        <v>83</v>
      </c>
      <c r="B40" s="554"/>
      <c r="C40" s="554"/>
      <c r="D40" s="554"/>
      <c r="E40" s="555" t="str">
        <f>IF($J$39="não jogou","",IF($F$39&gt;$H$39,$E$39,IF($F$39&lt;$H$39,$I$39,IF(AND($J$39="penaltis",$K$39="",$L$39=""),"",IF($K$39&gt;$L$39,$E$39,$I$39)))))</f>
        <v/>
      </c>
      <c r="F40" s="556"/>
      <c r="G40" s="556"/>
      <c r="H40" s="556"/>
      <c r="I40" s="557"/>
      <c r="J40" s="309"/>
      <c r="L40" s="312"/>
    </row>
    <row r="41" spans="1:12" ht="15" thickBot="1" x14ac:dyDescent="0.2">
      <c r="A41" s="558" t="s">
        <v>84</v>
      </c>
      <c r="B41" s="563"/>
      <c r="C41" s="563"/>
      <c r="D41" s="563"/>
      <c r="E41" s="560" t="str">
        <f>IF($J$39="não jogou","",IF($F$39&lt;$H$39,$E$39,IF($F$39&gt;$H$39,$I$39,IF(AND($J$39="penaltis",$K$39="",$L$39=""),"",IF($K$39&lt;$L$39,$E$39,$I$39)))))</f>
        <v/>
      </c>
      <c r="F41" s="564"/>
      <c r="G41" s="564"/>
      <c r="H41" s="564"/>
      <c r="I41" s="562"/>
      <c r="J41" s="294"/>
      <c r="L41" s="312"/>
    </row>
    <row r="42" spans="1:12" ht="15" thickBot="1" x14ac:dyDescent="0.2">
      <c r="A42" s="558" t="s">
        <v>85</v>
      </c>
      <c r="B42" s="559"/>
      <c r="C42" s="559"/>
      <c r="D42" s="559"/>
      <c r="E42" s="555" t="str">
        <f>IF($J$37="não jogou","",IF($F$37&gt;$H$37,$E$37,IF($F$37&lt;$H$37,$I$37,IF(AND($J$37="penaltis",$K$37="",$L$37=""),"",IF($K$37&gt;$L$37,$E$37,$I$37)))))</f>
        <v/>
      </c>
      <c r="F42" s="556"/>
      <c r="G42" s="556"/>
      <c r="H42" s="556"/>
      <c r="I42" s="557"/>
    </row>
    <row r="43" spans="1:12" ht="15" thickBot="1" x14ac:dyDescent="0.2">
      <c r="A43" s="558" t="s">
        <v>86</v>
      </c>
      <c r="B43" s="559"/>
      <c r="C43" s="559"/>
      <c r="D43" s="559"/>
      <c r="E43" s="560" t="str">
        <f>IF($J$37="não jogou","",IF($F$37&lt;$H$37,$E$37,IF($F$37&gt;$H$37,$I$37,IF(AND($J$37="penaltis",$K$37="",$L$37=""),"",IF($K$37&lt;$L$37,$E$37,$I$37)))))</f>
        <v/>
      </c>
      <c r="F43" s="561"/>
      <c r="G43" s="561"/>
      <c r="H43" s="561"/>
      <c r="I43" s="562"/>
    </row>
    <row r="44" spans="1:12" ht="13.5" thickBot="1" x14ac:dyDescent="0.2">
      <c r="A44" s="571" t="s">
        <v>87</v>
      </c>
      <c r="B44" s="572"/>
      <c r="C44" s="572"/>
      <c r="D44" s="573"/>
      <c r="E44" s="577">
        <f>Copa2022!E88:I88</f>
        <v>0</v>
      </c>
      <c r="F44" s="578"/>
      <c r="G44" s="578"/>
      <c r="H44" s="578"/>
      <c r="I44" s="579"/>
    </row>
    <row r="45" spans="1:12" ht="13.5" thickBot="1" x14ac:dyDescent="0.2">
      <c r="A45" s="574"/>
      <c r="B45" s="575"/>
      <c r="C45" s="575"/>
      <c r="D45" s="576"/>
      <c r="E45" s="566"/>
      <c r="F45" s="567"/>
      <c r="G45" s="567"/>
      <c r="H45" s="567"/>
      <c r="I45" s="568"/>
      <c r="K45" s="569" t="s">
        <v>88</v>
      </c>
      <c r="L45" s="570"/>
    </row>
    <row r="47" spans="1:12" ht="12.75" hidden="1" customHeight="1" x14ac:dyDescent="0.15">
      <c r="A47" s="565" t="s">
        <v>89</v>
      </c>
      <c r="B47" s="565"/>
      <c r="C47" s="565"/>
      <c r="D47" s="565"/>
      <c r="E47" s="565"/>
      <c r="F47" s="565"/>
      <c r="G47" s="565"/>
      <c r="H47" s="565"/>
      <c r="I47" s="565"/>
      <c r="J47" s="565"/>
      <c r="K47" s="565"/>
      <c r="L47" s="565"/>
    </row>
    <row r="48" spans="1:12" ht="12.75" hidden="1" customHeight="1" x14ac:dyDescent="0.15">
      <c r="B48" s="197"/>
      <c r="C48" s="197"/>
      <c r="G48" s="197"/>
      <c r="I48" s="313" t="s">
        <v>90</v>
      </c>
      <c r="J48" s="197"/>
      <c r="K48" s="197"/>
      <c r="L48" s="197"/>
    </row>
    <row r="49" spans="1:12" ht="12.75" hidden="1" customHeight="1" x14ac:dyDescent="0.15">
      <c r="I49" s="313" t="s">
        <v>91</v>
      </c>
    </row>
    <row r="50" spans="1:12" ht="12.75" hidden="1" customHeight="1" x14ac:dyDescent="0.15">
      <c r="A50" s="197" t="e">
        <f>Copa2022!#REF!</f>
        <v>#REF!</v>
      </c>
      <c r="I50" s="314" t="s">
        <v>92</v>
      </c>
    </row>
    <row r="51" spans="1:12" hidden="1" x14ac:dyDescent="0.15">
      <c r="C51" s="199" t="s">
        <v>93</v>
      </c>
      <c r="I51" s="199" t="s">
        <v>93</v>
      </c>
    </row>
    <row r="52" spans="1:12" ht="12.75" hidden="1" customHeight="1" x14ac:dyDescent="0.15">
      <c r="I52" s="313"/>
      <c r="J52" s="197"/>
      <c r="K52" s="197"/>
      <c r="L52" s="197"/>
    </row>
    <row r="53" spans="1:12" ht="12.75" hidden="1" customHeight="1" x14ac:dyDescent="0.15">
      <c r="I53" s="313"/>
    </row>
    <row r="54" spans="1:12" ht="12.75" hidden="1" customHeight="1" x14ac:dyDescent="0.15">
      <c r="I54" s="314"/>
    </row>
    <row r="55" spans="1:12" hidden="1" x14ac:dyDescent="0.15">
      <c r="I55" s="199"/>
    </row>
    <row r="56" spans="1:12" ht="12.75" hidden="1" customHeight="1" x14ac:dyDescent="0.15">
      <c r="I56" s="313"/>
      <c r="J56" s="197"/>
      <c r="K56" s="197"/>
      <c r="L56" s="197"/>
    </row>
    <row r="57" spans="1:12" ht="12.75" hidden="1" customHeight="1" x14ac:dyDescent="0.15">
      <c r="I57" s="313"/>
    </row>
    <row r="58" spans="1:12" ht="12.75" hidden="1" customHeight="1" x14ac:dyDescent="0.15">
      <c r="I58" s="314"/>
    </row>
    <row r="59" spans="1:12" hidden="1" x14ac:dyDescent="0.15">
      <c r="I59" s="199"/>
    </row>
    <row r="60" spans="1:12" hidden="1" x14ac:dyDescent="0.15">
      <c r="A60" s="197" t="s">
        <v>122</v>
      </c>
      <c r="C60" s="199" t="e">
        <f>SUM(C61:C84)</f>
        <v>#REF!</v>
      </c>
      <c r="D60" s="199">
        <v>1</v>
      </c>
      <c r="E60" s="207" t="str">
        <f>'Classificação 1ª fase'!C5</f>
        <v>Holanda</v>
      </c>
    </row>
    <row r="61" spans="1:12" hidden="1" x14ac:dyDescent="0.15">
      <c r="A61" s="197" t="s">
        <v>99</v>
      </c>
      <c r="C61" s="199" t="e">
        <f>COUNTIF(#REF!,A61)</f>
        <v>#REF!</v>
      </c>
      <c r="D61" s="199">
        <v>2</v>
      </c>
      <c r="E61" s="207" t="str">
        <f>'Classificação 1ª fase'!C6</f>
        <v>Equador</v>
      </c>
    </row>
    <row r="62" spans="1:12" hidden="1" x14ac:dyDescent="0.15">
      <c r="A62" s="197" t="s">
        <v>112</v>
      </c>
      <c r="C62" s="199" t="e">
        <f>COUNTIF(#REF!,A62)</f>
        <v>#REF!</v>
      </c>
      <c r="D62" s="199">
        <v>3</v>
      </c>
      <c r="E62" s="207" t="str">
        <f>'Classificação 1ª fase'!C7</f>
        <v>Senegal</v>
      </c>
    </row>
    <row r="63" spans="1:12" ht="15" hidden="1" customHeight="1" x14ac:dyDescent="0.15">
      <c r="A63" s="197" t="s">
        <v>115</v>
      </c>
      <c r="C63" s="199" t="e">
        <f>COUNTIF(#REF!,A63)</f>
        <v>#REF!</v>
      </c>
      <c r="D63" s="199" t="s">
        <v>105</v>
      </c>
      <c r="E63" s="207" t="str">
        <f>'Classificação 1ª fase'!C8</f>
        <v>Catar</v>
      </c>
    </row>
    <row r="64" spans="1:12" hidden="1" x14ac:dyDescent="0.15">
      <c r="A64" s="197" t="s">
        <v>113</v>
      </c>
      <c r="C64" s="199" t="e">
        <f>COUNTIF(#REF!,A64)</f>
        <v>#REF!</v>
      </c>
      <c r="E64" s="199"/>
    </row>
    <row r="65" spans="1:5" hidden="1" x14ac:dyDescent="0.15">
      <c r="A65" s="197" t="s">
        <v>118</v>
      </c>
      <c r="C65" s="199" t="e">
        <f>COUNTIF(#REF!,A65)</f>
        <v>#REF!</v>
      </c>
      <c r="D65" s="199">
        <v>1</v>
      </c>
      <c r="E65" s="207" t="str">
        <f>'Classificação 1ª fase'!C11</f>
        <v>Inglaterra</v>
      </c>
    </row>
    <row r="66" spans="1:5" hidden="1" x14ac:dyDescent="0.15">
      <c r="A66" s="197" t="s">
        <v>116</v>
      </c>
      <c r="C66" s="199" t="e">
        <f>COUNTIF(#REF!,A66)</f>
        <v>#REF!</v>
      </c>
      <c r="D66" s="199">
        <v>2</v>
      </c>
      <c r="E66" s="207" t="str">
        <f>'Classificação 1ª fase'!C12</f>
        <v>País de Gales</v>
      </c>
    </row>
    <row r="67" spans="1:5" hidden="1" x14ac:dyDescent="0.15">
      <c r="A67" s="197" t="s">
        <v>106</v>
      </c>
      <c r="C67" s="199" t="e">
        <f>COUNTIF(#REF!,A67)</f>
        <v>#REF!</v>
      </c>
      <c r="D67" s="199">
        <v>3</v>
      </c>
      <c r="E67" s="207" t="str">
        <f>'Classificação 1ª fase'!C13</f>
        <v>Estados Unidos</v>
      </c>
    </row>
    <row r="68" spans="1:5" hidden="1" x14ac:dyDescent="0.15">
      <c r="A68" s="197" t="s">
        <v>100</v>
      </c>
      <c r="C68" s="199" t="e">
        <f>COUNTIF(#REF!,A68)</f>
        <v>#REF!</v>
      </c>
      <c r="D68" s="199">
        <v>4</v>
      </c>
      <c r="E68" s="207" t="str">
        <f>'Classificação 1ª fase'!C14</f>
        <v>Irã</v>
      </c>
    </row>
    <row r="69" spans="1:5" hidden="1" x14ac:dyDescent="0.15">
      <c r="A69" s="197" t="s">
        <v>114</v>
      </c>
      <c r="C69" s="199" t="e">
        <f>COUNTIF(#REF!,A69)</f>
        <v>#REF!</v>
      </c>
      <c r="E69" s="199"/>
    </row>
    <row r="70" spans="1:5" hidden="1" x14ac:dyDescent="0.15">
      <c r="A70" s="197" t="s">
        <v>97</v>
      </c>
      <c r="C70" s="199" t="e">
        <f>COUNTIF(#REF!,A70)</f>
        <v>#REF!</v>
      </c>
      <c r="D70" s="199">
        <v>1</v>
      </c>
      <c r="E70" s="207" t="str">
        <f>'Classificação 1ª fase'!C17</f>
        <v>Arábia Saudita</v>
      </c>
    </row>
    <row r="71" spans="1:5" hidden="1" x14ac:dyDescent="0.15">
      <c r="A71" s="197" t="s">
        <v>101</v>
      </c>
      <c r="C71" s="199" t="e">
        <f>COUNTIF(#REF!,A71)</f>
        <v>#REF!</v>
      </c>
      <c r="D71" s="199">
        <v>2</v>
      </c>
      <c r="E71" s="207" t="str">
        <f>'Classificação 1ª fase'!C18</f>
        <v>Polônia</v>
      </c>
    </row>
    <row r="72" spans="1:5" hidden="1" x14ac:dyDescent="0.15">
      <c r="A72" s="197" t="s">
        <v>108</v>
      </c>
      <c r="C72" s="199" t="e">
        <f>COUNTIF(#REF!,A72)</f>
        <v>#REF!</v>
      </c>
      <c r="D72" s="199">
        <v>3</v>
      </c>
      <c r="E72" s="207" t="str">
        <f>'Classificação 1ª fase'!C19</f>
        <v>México</v>
      </c>
    </row>
    <row r="73" spans="1:5" hidden="1" x14ac:dyDescent="0.15">
      <c r="A73" s="197" t="s">
        <v>119</v>
      </c>
      <c r="C73" s="199" t="e">
        <f>COUNTIF(#REF!,A73)</f>
        <v>#REF!</v>
      </c>
      <c r="D73" s="199">
        <v>4</v>
      </c>
      <c r="E73" s="207" t="str">
        <f>'Classificação 1ª fase'!C20</f>
        <v>Argentina</v>
      </c>
    </row>
    <row r="74" spans="1:5" hidden="1" x14ac:dyDescent="0.15">
      <c r="A74" s="197" t="s">
        <v>109</v>
      </c>
      <c r="C74" s="199" t="e">
        <f>COUNTIF(#REF!,A74)</f>
        <v>#REF!</v>
      </c>
      <c r="E74" s="199"/>
    </row>
    <row r="75" spans="1:5" hidden="1" x14ac:dyDescent="0.15">
      <c r="A75" s="197" t="s">
        <v>121</v>
      </c>
      <c r="C75" s="199" t="e">
        <f>COUNTIF(#REF!,A75)</f>
        <v>#REF!</v>
      </c>
      <c r="D75" s="199">
        <v>1</v>
      </c>
      <c r="E75" s="207" t="str">
        <f>'Classificação 1ª fase'!C23</f>
        <v>França</v>
      </c>
    </row>
    <row r="76" spans="1:5" hidden="1" x14ac:dyDescent="0.15">
      <c r="A76" s="197" t="s">
        <v>110</v>
      </c>
      <c r="C76" s="199" t="e">
        <f>COUNTIF(#REF!,A76)</f>
        <v>#REF!</v>
      </c>
      <c r="D76" s="199">
        <v>2</v>
      </c>
      <c r="E76" s="207" t="str">
        <f>'Classificação 1ª fase'!C24</f>
        <v>Tunísia</v>
      </c>
    </row>
    <row r="77" spans="1:5" hidden="1" x14ac:dyDescent="0.15">
      <c r="A77" s="197" t="s">
        <v>107</v>
      </c>
      <c r="C77" s="199" t="e">
        <f>COUNTIF(#REF!,A77)</f>
        <v>#REF!</v>
      </c>
      <c r="D77" s="199">
        <v>3</v>
      </c>
      <c r="E77" s="207" t="str">
        <f>'Classificação 1ª fase'!C25</f>
        <v>Dinamarca</v>
      </c>
    </row>
    <row r="78" spans="1:5" hidden="1" x14ac:dyDescent="0.15">
      <c r="A78" s="197" t="s">
        <v>98</v>
      </c>
      <c r="C78" s="199" t="e">
        <f>COUNTIF(#REF!,A78)</f>
        <v>#REF!</v>
      </c>
      <c r="D78" s="199">
        <v>4</v>
      </c>
      <c r="E78" s="207" t="str">
        <f>'Classificação 1ª fase'!C26</f>
        <v>Austrália</v>
      </c>
    </row>
    <row r="79" spans="1:5" hidden="1" x14ac:dyDescent="0.15">
      <c r="A79" s="197" t="s">
        <v>117</v>
      </c>
      <c r="C79" s="199" t="e">
        <f>COUNTIF(#REF!,A79)</f>
        <v>#REF!</v>
      </c>
      <c r="E79" s="199"/>
    </row>
    <row r="80" spans="1:5" hidden="1" x14ac:dyDescent="0.15">
      <c r="A80" s="197" t="s">
        <v>120</v>
      </c>
      <c r="C80" s="199" t="e">
        <f>COUNTIF(#REF!,A80)</f>
        <v>#REF!</v>
      </c>
      <c r="D80" s="199">
        <v>1</v>
      </c>
      <c r="E80" s="207" t="str">
        <f>'Classificação 1ª fase'!C29</f>
        <v>Japão</v>
      </c>
    </row>
    <row r="81" spans="1:5" hidden="1" x14ac:dyDescent="0.15">
      <c r="A81" s="197" t="s">
        <v>111</v>
      </c>
      <c r="C81" s="199" t="e">
        <f>COUNTIF(#REF!,A81)</f>
        <v>#REF!</v>
      </c>
      <c r="D81" s="199">
        <v>2</v>
      </c>
      <c r="E81" s="207" t="str">
        <f>'Classificação 1ª fase'!C30</f>
        <v>Espanha</v>
      </c>
    </row>
    <row r="82" spans="1:5" hidden="1" x14ac:dyDescent="0.15">
      <c r="C82" s="197"/>
      <c r="D82" s="199">
        <v>3</v>
      </c>
      <c r="E82" s="207" t="str">
        <f>'Classificação 1ª fase'!C31</f>
        <v>Costa Rica</v>
      </c>
    </row>
    <row r="83" spans="1:5" hidden="1" x14ac:dyDescent="0.15">
      <c r="C83" s="197"/>
      <c r="D83" s="199" t="s">
        <v>105</v>
      </c>
      <c r="E83" s="207" t="str">
        <f>'Classificação 1ª fase'!C32</f>
        <v>Alemanha</v>
      </c>
    </row>
    <row r="84" spans="1:5" hidden="1" x14ac:dyDescent="0.15">
      <c r="C84" s="197"/>
      <c r="E84" s="199"/>
    </row>
    <row r="85" spans="1:5" hidden="1" x14ac:dyDescent="0.15">
      <c r="D85" s="199">
        <v>1</v>
      </c>
      <c r="E85" s="207" t="str">
        <f>'Classificação 1ª fase'!C35</f>
        <v>Marrocos</v>
      </c>
    </row>
    <row r="86" spans="1:5" hidden="1" x14ac:dyDescent="0.15">
      <c r="D86" s="199">
        <v>2</v>
      </c>
      <c r="E86" s="207" t="str">
        <f>'Classificação 1ª fase'!C36</f>
        <v>Croácia</v>
      </c>
    </row>
    <row r="87" spans="1:5" hidden="1" x14ac:dyDescent="0.15">
      <c r="D87" s="199">
        <v>3</v>
      </c>
      <c r="E87" s="207" t="str">
        <f>'Classificação 1ª fase'!C37</f>
        <v>Canadá</v>
      </c>
    </row>
    <row r="88" spans="1:5" hidden="1" x14ac:dyDescent="0.15">
      <c r="D88" s="199">
        <v>4</v>
      </c>
      <c r="E88" s="207" t="str">
        <f>'Classificação 1ª fase'!C38</f>
        <v>Bélgica</v>
      </c>
    </row>
    <row r="89" spans="1:5" hidden="1" x14ac:dyDescent="0.15">
      <c r="E89" s="199"/>
    </row>
    <row r="90" spans="1:5" hidden="1" x14ac:dyDescent="0.15">
      <c r="D90" s="199">
        <v>1</v>
      </c>
      <c r="E90" s="207" t="str">
        <f>'Classificação 1ª fase'!C41</f>
        <v>Suíça</v>
      </c>
    </row>
    <row r="91" spans="1:5" hidden="1" x14ac:dyDescent="0.15">
      <c r="D91" s="199">
        <v>2</v>
      </c>
      <c r="E91" s="207" t="str">
        <f>'Classificação 1ª fase'!C42</f>
        <v>Sérvia</v>
      </c>
    </row>
    <row r="92" spans="1:5" hidden="1" x14ac:dyDescent="0.15">
      <c r="D92" s="199">
        <v>3</v>
      </c>
      <c r="E92" s="207" t="str">
        <f>'Classificação 1ª fase'!C43</f>
        <v>Camarões</v>
      </c>
    </row>
    <row r="93" spans="1:5" hidden="1" x14ac:dyDescent="0.15">
      <c r="D93" s="199">
        <v>4</v>
      </c>
      <c r="E93" s="207" t="str">
        <f>'Classificação 1ª fase'!C44</f>
        <v>Brasil</v>
      </c>
    </row>
    <row r="94" spans="1:5" hidden="1" x14ac:dyDescent="0.15">
      <c r="E94" s="199"/>
    </row>
    <row r="95" spans="1:5" hidden="1" x14ac:dyDescent="0.15">
      <c r="D95" s="199">
        <v>1</v>
      </c>
      <c r="E95" s="207" t="str">
        <f>'Classificação 1ª fase'!C47</f>
        <v>Gana</v>
      </c>
    </row>
    <row r="96" spans="1:5" hidden="1" x14ac:dyDescent="0.15">
      <c r="D96" s="199">
        <v>2</v>
      </c>
      <c r="E96" s="207" t="str">
        <f>'Classificação 1ª fase'!C48</f>
        <v>Uruguai</v>
      </c>
    </row>
    <row r="97" spans="4:5" hidden="1" x14ac:dyDescent="0.15">
      <c r="D97" s="199">
        <v>3</v>
      </c>
      <c r="E97" s="207" t="str">
        <f>'Classificação 1ª fase'!C49</f>
        <v>Portugal</v>
      </c>
    </row>
    <row r="98" spans="4:5" hidden="1" x14ac:dyDescent="0.15">
      <c r="D98" s="199">
        <v>4</v>
      </c>
      <c r="E98" s="207" t="str">
        <f>'Classificação 1ª fase'!C50</f>
        <v>Coreia do Sul</v>
      </c>
    </row>
  </sheetData>
  <sheetProtection algorithmName="SHA-512" hashValue="VvYPx9GRDOrqd9O3+hXje4u/9TbIG8oWv2LS+9IMugbVAo70OaLw7ECCdcSOGCzTGOA7v+P0OMIvp1S1jREDuA==" saltValue="IANhjVEYxMuu2fX4ALxXEA==" spinCount="100000" sheet="1" selectLockedCells="1" selectUnlockedCells="1"/>
  <mergeCells count="50">
    <mergeCell ref="A47:L47"/>
    <mergeCell ref="E45:I45"/>
    <mergeCell ref="K45:L45"/>
    <mergeCell ref="A44:D45"/>
    <mergeCell ref="E44:I44"/>
    <mergeCell ref="A43:D43"/>
    <mergeCell ref="E43:I43"/>
    <mergeCell ref="A42:D42"/>
    <mergeCell ref="E42:I42"/>
    <mergeCell ref="A41:D41"/>
    <mergeCell ref="E41:I41"/>
    <mergeCell ref="A40:D40"/>
    <mergeCell ref="E40:I40"/>
    <mergeCell ref="E38:I38"/>
    <mergeCell ref="K38:L38"/>
    <mergeCell ref="E36:I36"/>
    <mergeCell ref="K36:L36"/>
    <mergeCell ref="E33:I33"/>
    <mergeCell ref="K33:L33"/>
    <mergeCell ref="E28:I28"/>
    <mergeCell ref="K28:L28"/>
    <mergeCell ref="E19:I19"/>
    <mergeCell ref="K19:L19"/>
    <mergeCell ref="E18:I18"/>
    <mergeCell ref="B17:C18"/>
    <mergeCell ref="E17:I17"/>
    <mergeCell ref="E16:I16"/>
    <mergeCell ref="B15:C16"/>
    <mergeCell ref="E15:I15"/>
    <mergeCell ref="B13:C14"/>
    <mergeCell ref="E13:I13"/>
    <mergeCell ref="E12:I12"/>
    <mergeCell ref="B11:C12"/>
    <mergeCell ref="E11:I11"/>
    <mergeCell ref="K3:L18"/>
    <mergeCell ref="A2:L2"/>
    <mergeCell ref="E6:I6"/>
    <mergeCell ref="B5:C6"/>
    <mergeCell ref="E5:I5"/>
    <mergeCell ref="E4:I4"/>
    <mergeCell ref="A3:A18"/>
    <mergeCell ref="B3:C4"/>
    <mergeCell ref="E3:I3"/>
    <mergeCell ref="E10:I10"/>
    <mergeCell ref="B9:C10"/>
    <mergeCell ref="E9:I9"/>
    <mergeCell ref="E8:I8"/>
    <mergeCell ref="B7:C8"/>
    <mergeCell ref="E7:I7"/>
    <mergeCell ref="E14:I14"/>
  </mergeCells>
  <conditionalFormatting sqref="K20:L20">
    <cfRule type="expression" dxfId="10" priority="33">
      <formula>$J$20="penaltis"</formula>
    </cfRule>
  </conditionalFormatting>
  <conditionalFormatting sqref="D34:D35 B3 B11 B13 B17 B5 D20:D27 B15 D3:D18 B7 D37 A3:A18 B9 D29 D39:D43 A40:C43">
    <cfRule type="cellIs" dxfId="9" priority="35" stopIfTrue="1" operator="equal">
      <formula>$A$50</formula>
    </cfRule>
  </conditionalFormatting>
  <conditionalFormatting sqref="E40:E45 F41:I45 E3:I39">
    <cfRule type="cellIs" dxfId="8" priority="52" stopIfTrue="1" operator="equal">
      <formula>$A$50</formula>
    </cfRule>
  </conditionalFormatting>
  <dataValidations count="1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E19:I19" xr:uid="{00000000-0002-0000-1600-000000000000}"/>
    <dataValidation type="list" errorStyle="information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3:I3" xr:uid="{00000000-0002-0000-1600-000001000000}">
      <formula1>$E$60:$E$63</formula1>
    </dataValidation>
    <dataValidation type="list" allowBlank="1" showInputMessage="1" showErrorMessage="1" promptTitle="Como inserir o artilheiro?" prompt="Aqui estão colocados os artilheiros que os participantes apostaram. Caso o artilheiro seja um que não os presentes nessa lista favor inserir o nome do jogador e a sua respectiva seleção de acordo com o exemplo: Tostão (Brasil)." sqref="E45:I45" xr:uid="{00000000-0002-0000-1600-000002000000}">
      <formula1>$A$60:$A$81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17:I18" xr:uid="{00000000-0002-0000-1600-000003000000}">
      <formula1>$E$95:$E$98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15:I16" xr:uid="{00000000-0002-0000-1600-000004000000}">
      <formula1>$E$90:$E$93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13:I14" xr:uid="{00000000-0002-0000-1600-000005000000}">
      <formula1>$E$85:$E$88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11:I12" xr:uid="{00000000-0002-0000-1600-000006000000}">
      <formula1>$E$80:$E$83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9:I10" xr:uid="{00000000-0002-0000-1600-000007000000}">
      <formula1>$E$75:$E$78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7:I8" xr:uid="{00000000-0002-0000-1600-000008000000}">
      <formula1>$E$70:$E$73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5:I6" xr:uid="{00000000-0002-0000-1600-000009000000}">
      <formula1>$E$65:$E$68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4:I4" xr:uid="{00000000-0002-0000-1600-00000A000000}">
      <formula1>$E$60:$E$63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4294967293" verticalDpi="0" r:id="rId1"/>
  <headerFooter>
    <oddFooter>&amp;L_x000D_&amp;1#&amp;"Calibri"&amp;10&amp;K008000 Classificação do documento: Público</oddFooter>
  </headerFooter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3"/>
  <dimension ref="A1:CE67"/>
  <sheetViews>
    <sheetView workbookViewId="0">
      <selection activeCell="D53" sqref="D53"/>
    </sheetView>
  </sheetViews>
  <sheetFormatPr defaultColWidth="9.14453125" defaultRowHeight="12.75" x14ac:dyDescent="0.15"/>
  <cols>
    <col min="1" max="1" width="17.75390625" style="197" customWidth="1"/>
    <col min="2" max="2" width="3.765625" style="199" bestFit="1" customWidth="1"/>
    <col min="3" max="3" width="25.9609375" style="201" bestFit="1" customWidth="1"/>
    <col min="4" max="11" width="6.72265625" style="199" customWidth="1"/>
    <col min="12" max="12" width="6.45703125" style="197" customWidth="1"/>
    <col min="13" max="13" width="18.29296875" style="197" customWidth="1"/>
    <col min="14" max="14" width="3.765625" style="197" customWidth="1"/>
    <col min="15" max="15" width="9.14453125" style="202" customWidth="1"/>
    <col min="16" max="18" width="2.6875" style="199" customWidth="1"/>
    <col min="19" max="19" width="9.14453125" style="197" customWidth="1"/>
    <col min="20" max="21" width="6.1875" style="197" customWidth="1"/>
    <col min="22" max="22" width="13.44921875" style="197" customWidth="1"/>
    <col min="23" max="24" width="6.45703125" style="199" customWidth="1"/>
    <col min="25" max="25" width="7.93359375" style="199" bestFit="1" customWidth="1"/>
    <col min="26" max="27" width="9.14453125" style="197" customWidth="1"/>
    <col min="28" max="28" width="5.24609375" style="197" customWidth="1"/>
    <col min="29" max="29" width="13.1796875" style="197" customWidth="1"/>
    <col min="30" max="37" width="4.70703125" style="199" customWidth="1"/>
    <col min="38" max="38" width="4.70703125" style="197" customWidth="1"/>
    <col min="39" max="39" width="10.76171875" style="203" customWidth="1"/>
    <col min="40" max="40" width="10.0859375" style="203" customWidth="1"/>
    <col min="41" max="41" width="4.70703125" style="203" customWidth="1"/>
    <col min="42" max="42" width="9.14453125" style="203" customWidth="1"/>
    <col min="43" max="43" width="9.14453125" style="199" customWidth="1"/>
    <col min="44" max="44" width="8.875" style="199" customWidth="1"/>
    <col min="45" max="45" width="9.953125" style="199" customWidth="1"/>
    <col min="46" max="46" width="3.359375" style="197" customWidth="1"/>
    <col min="47" max="47" width="5.37890625" style="197" customWidth="1"/>
    <col min="48" max="48" width="3.359375" style="197" customWidth="1"/>
    <col min="49" max="49" width="16.140625" style="197" customWidth="1"/>
    <col min="50" max="55" width="9.14453125" style="197" customWidth="1"/>
    <col min="56" max="56" width="1.4765625" style="197" customWidth="1"/>
    <col min="57" max="65" width="9.14453125" style="197" customWidth="1"/>
    <col min="66" max="66" width="7.12890625" style="197" customWidth="1"/>
    <col min="67" max="67" width="14.796875" style="197" customWidth="1"/>
    <col min="68" max="75" width="3.765625" style="197" customWidth="1"/>
    <col min="76" max="76" width="7.12890625" style="197" customWidth="1"/>
    <col min="77" max="78" width="14.66015625" style="204" customWidth="1"/>
    <col min="79" max="79" width="3.765625" style="197" customWidth="1"/>
    <col min="80" max="80" width="9.14453125" style="197" customWidth="1"/>
    <col min="81" max="81" width="3.765625" style="199" customWidth="1"/>
    <col min="82" max="82" width="11.02734375" style="197" customWidth="1"/>
    <col min="83" max="83" width="11.02734375" style="203" customWidth="1"/>
    <col min="84" max="16384" width="9.14453125" style="197"/>
  </cols>
  <sheetData>
    <row r="1" spans="1:83" ht="25.5" customHeight="1" x14ac:dyDescent="0.15">
      <c r="B1" s="198"/>
      <c r="C1" s="583" t="s">
        <v>13</v>
      </c>
      <c r="D1" s="583"/>
      <c r="E1" s="583"/>
      <c r="F1" s="583"/>
      <c r="G1" s="583"/>
      <c r="H1" s="583"/>
      <c r="I1" s="583"/>
      <c r="J1" s="583"/>
      <c r="L1" s="197">
        <v>1</v>
      </c>
      <c r="M1" s="200" t="s">
        <v>7</v>
      </c>
      <c r="N1" s="201" t="s">
        <v>14</v>
      </c>
      <c r="V1" s="197" t="s">
        <v>15</v>
      </c>
      <c r="W1" s="199" t="s">
        <v>153</v>
      </c>
      <c r="X1" s="199" t="s">
        <v>154</v>
      </c>
      <c r="Y1" s="199" t="s">
        <v>155</v>
      </c>
      <c r="Z1" s="197" t="s">
        <v>155</v>
      </c>
    </row>
    <row r="2" spans="1:83" ht="25.5" customHeight="1" x14ac:dyDescent="0.15">
      <c r="A2" s="205"/>
      <c r="C2" s="583"/>
      <c r="D2" s="583"/>
      <c r="E2" s="583"/>
      <c r="F2" s="583"/>
      <c r="G2" s="583"/>
      <c r="H2" s="583"/>
      <c r="I2" s="583"/>
      <c r="J2" s="583"/>
      <c r="L2" s="197">
        <v>2</v>
      </c>
      <c r="M2" s="200" t="s">
        <v>125</v>
      </c>
      <c r="N2" s="197">
        <v>1</v>
      </c>
      <c r="O2" s="202" t="str">
        <f>Copa2022!E11</f>
        <v>Catar</v>
      </c>
      <c r="P2" s="202">
        <f>IF(Copa2022!F11="","",Copa2022!F11)</f>
        <v>0</v>
      </c>
      <c r="Q2" s="202" t="str">
        <f>Copa2022!G11</f>
        <v>x</v>
      </c>
      <c r="R2" s="202">
        <f>IF(Copa2022!H11="","",Copa2022!H11)</f>
        <v>2</v>
      </c>
      <c r="S2" s="202" t="str">
        <f>Copa2022!I11</f>
        <v>Equador</v>
      </c>
      <c r="V2" s="197" t="b">
        <f t="shared" ref="V2:V49" si="0">AND(P2&lt;&gt;"",R2&lt;&gt;"")</f>
        <v>1</v>
      </c>
      <c r="W2" s="199" t="str">
        <f>IF($V2=TRUE,IF($P2&gt;$R2,$O2,IF($P2&lt;$R2,$S2,IF($P2=$R2,"empate",""))),"")</f>
        <v>Equador</v>
      </c>
      <c r="X2" s="199" t="str">
        <f>IF($V2=TRUE,IF($P2&lt;$R2,$O2,IF($P2&gt;$R2,$S2,IF($P2=$R2,"empate",""))),"")</f>
        <v>Catar</v>
      </c>
      <c r="Y2" s="199" t="str">
        <f>IF($V2=TRUE,IF($P2=$R2,O2,""))</f>
        <v/>
      </c>
      <c r="Z2" s="199" t="str">
        <f>IF($V2=TRUE,IF($P2=$R2,S2,""))</f>
        <v/>
      </c>
      <c r="AA2" s="199"/>
      <c r="BO2" s="197" t="s">
        <v>16</v>
      </c>
    </row>
    <row r="3" spans="1:83" ht="62.25" customHeight="1" thickBot="1" x14ac:dyDescent="0.2">
      <c r="B3" s="198"/>
      <c r="C3" s="583"/>
      <c r="D3" s="583"/>
      <c r="E3" s="583"/>
      <c r="F3" s="583"/>
      <c r="G3" s="583"/>
      <c r="H3" s="583"/>
      <c r="I3" s="583"/>
      <c r="J3" s="583"/>
      <c r="L3" s="197">
        <v>3</v>
      </c>
      <c r="M3" s="200" t="s">
        <v>4</v>
      </c>
      <c r="N3" s="197">
        <v>2</v>
      </c>
      <c r="O3" s="202" t="str">
        <f>Copa2022!E12</f>
        <v>Senegal</v>
      </c>
      <c r="P3" s="202">
        <f>IF(Copa2022!F12="","",Copa2022!F12)</f>
        <v>0</v>
      </c>
      <c r="Q3" s="202" t="str">
        <f>Copa2022!G12</f>
        <v>x</v>
      </c>
      <c r="R3" s="202">
        <f>IF(Copa2022!H12="","",Copa2022!H12)</f>
        <v>2</v>
      </c>
      <c r="S3" s="202" t="str">
        <f>Copa2022!I12</f>
        <v>Holanda</v>
      </c>
      <c r="V3" s="197" t="b">
        <f t="shared" si="0"/>
        <v>1</v>
      </c>
      <c r="W3" s="199" t="str">
        <f t="shared" ref="W3:W65" si="1">IF($V3=TRUE,IF($P3&gt;$R3,$O3,IF($P3&lt;$R3,$S3,IF($P3=$R3,"empate",""))),"")</f>
        <v>Holanda</v>
      </c>
      <c r="X3" s="199" t="str">
        <f t="shared" ref="X3:X65" si="2">IF($V3=TRUE,IF($P3&lt;$R3,$O3,IF($P3&gt;$R3,$S3,IF($P3=$R3,"empate",""))),"")</f>
        <v>Senegal</v>
      </c>
      <c r="Y3" s="199" t="str">
        <f t="shared" ref="Y3:Y49" si="3">IF($V3=TRUE,IF($P3=$R3,O3,""))</f>
        <v/>
      </c>
      <c r="Z3" s="199" t="str">
        <f t="shared" ref="Z3:Z49" si="4">IF($V3=TRUE,IF($P3=$R3,S3,""))</f>
        <v/>
      </c>
      <c r="AA3" s="199"/>
      <c r="AD3" s="206" t="s">
        <v>17</v>
      </c>
      <c r="AE3" s="206" t="s">
        <v>18</v>
      </c>
      <c r="AF3" s="206" t="s">
        <v>19</v>
      </c>
      <c r="AG3" s="206" t="s">
        <v>20</v>
      </c>
      <c r="AH3" s="206" t="s">
        <v>21</v>
      </c>
      <c r="AI3" s="206" t="s">
        <v>22</v>
      </c>
      <c r="AJ3" s="206" t="s">
        <v>23</v>
      </c>
      <c r="AK3" s="206" t="s">
        <v>24</v>
      </c>
      <c r="AM3" s="207" t="s">
        <v>25</v>
      </c>
      <c r="AN3" s="208" t="s">
        <v>26</v>
      </c>
      <c r="AO3" s="207" t="s">
        <v>27</v>
      </c>
      <c r="AP3" s="207" t="s">
        <v>28</v>
      </c>
      <c r="AQ3" s="207" t="s">
        <v>29</v>
      </c>
      <c r="AS3" s="199" t="s">
        <v>30</v>
      </c>
      <c r="AT3" s="197" t="s">
        <v>31</v>
      </c>
      <c r="AY3" s="197" t="s">
        <v>32</v>
      </c>
      <c r="BI3" s="197" t="s">
        <v>33</v>
      </c>
      <c r="BP3" s="206" t="s">
        <v>17</v>
      </c>
      <c r="BQ3" s="206" t="s">
        <v>18</v>
      </c>
      <c r="BR3" s="206" t="s">
        <v>19</v>
      </c>
      <c r="BS3" s="206" t="s">
        <v>20</v>
      </c>
      <c r="BT3" s="206" t="s">
        <v>21</v>
      </c>
      <c r="BU3" s="206" t="s">
        <v>22</v>
      </c>
      <c r="BV3" s="206" t="s">
        <v>23</v>
      </c>
      <c r="BW3" s="206" t="s">
        <v>24</v>
      </c>
      <c r="BY3" s="209" t="s">
        <v>25</v>
      </c>
      <c r="BZ3" s="210" t="s">
        <v>26</v>
      </c>
      <c r="CA3" s="207" t="s">
        <v>27</v>
      </c>
      <c r="CB3" s="207" t="s">
        <v>28</v>
      </c>
      <c r="CC3" s="211" t="s">
        <v>29</v>
      </c>
      <c r="CD3" s="199"/>
      <c r="CE3" s="207"/>
    </row>
    <row r="4" spans="1:83" ht="15" x14ac:dyDescent="0.2">
      <c r="B4" s="584" t="s">
        <v>34</v>
      </c>
      <c r="C4" s="585"/>
      <c r="D4" s="212" t="s">
        <v>35</v>
      </c>
      <c r="E4" s="212" t="s">
        <v>36</v>
      </c>
      <c r="F4" s="212" t="s">
        <v>37</v>
      </c>
      <c r="G4" s="212" t="s">
        <v>38</v>
      </c>
      <c r="H4" s="212" t="s">
        <v>39</v>
      </c>
      <c r="I4" s="212" t="s">
        <v>40</v>
      </c>
      <c r="J4" s="212" t="s">
        <v>41</v>
      </c>
      <c r="K4" s="213" t="s">
        <v>42</v>
      </c>
      <c r="L4" s="197">
        <v>4</v>
      </c>
      <c r="M4" s="200" t="s">
        <v>159</v>
      </c>
      <c r="N4" s="197">
        <v>3</v>
      </c>
      <c r="O4" s="202" t="str">
        <f>Copa2022!E13</f>
        <v>Catar</v>
      </c>
      <c r="P4" s="202" t="str">
        <f>IF(Copa2022!F13="","",Copa2022!F13)</f>
        <v/>
      </c>
      <c r="Q4" s="202" t="str">
        <f>Copa2022!G13</f>
        <v>x</v>
      </c>
      <c r="R4" s="202" t="str">
        <f>IF(Copa2022!H13="","",Copa2022!H13)</f>
        <v/>
      </c>
      <c r="S4" s="202" t="str">
        <f>Copa2022!I13</f>
        <v>Senegal</v>
      </c>
      <c r="V4" s="197" t="b">
        <f t="shared" si="0"/>
        <v>0</v>
      </c>
      <c r="W4" s="199" t="str">
        <f t="shared" si="1"/>
        <v/>
      </c>
      <c r="X4" s="199" t="str">
        <f t="shared" si="2"/>
        <v/>
      </c>
      <c r="Y4" s="199" t="b">
        <f t="shared" si="3"/>
        <v>0</v>
      </c>
      <c r="Z4" s="199" t="b">
        <f t="shared" si="4"/>
        <v>0</v>
      </c>
      <c r="AA4" s="199"/>
      <c r="AW4" s="197" t="s">
        <v>43</v>
      </c>
      <c r="AX4" s="199" t="s">
        <v>44</v>
      </c>
      <c r="AY4" s="207" t="s">
        <v>25</v>
      </c>
      <c r="AZ4" s="208" t="s">
        <v>26</v>
      </c>
      <c r="BA4" s="207" t="s">
        <v>27</v>
      </c>
      <c r="BB4" s="207" t="s">
        <v>28</v>
      </c>
      <c r="BC4" s="197" t="s">
        <v>45</v>
      </c>
      <c r="BG4" s="197" t="s">
        <v>43</v>
      </c>
      <c r="BH4" s="199" t="s">
        <v>44</v>
      </c>
      <c r="BI4" s="207" t="s">
        <v>25</v>
      </c>
      <c r="BJ4" s="208" t="s">
        <v>26</v>
      </c>
      <c r="BK4" s="207" t="s">
        <v>27</v>
      </c>
      <c r="BL4" s="207" t="s">
        <v>28</v>
      </c>
      <c r="BM4" s="197" t="s">
        <v>45</v>
      </c>
    </row>
    <row r="5" spans="1:83" ht="15" x14ac:dyDescent="0.2">
      <c r="B5" s="214">
        <f>AQ5</f>
        <v>1</v>
      </c>
      <c r="C5" s="215" t="str">
        <f>AP5</f>
        <v>Holanda</v>
      </c>
      <c r="D5" s="216">
        <f>3*F5+H5</f>
        <v>3</v>
      </c>
      <c r="E5" s="216">
        <f>F5+G5+H5</f>
        <v>1</v>
      </c>
      <c r="F5" s="216">
        <f>VLOOKUP($AP5,$AC$5:$AK$8,4)</f>
        <v>1</v>
      </c>
      <c r="G5" s="216">
        <f>VLOOKUP($AP5,$AC$5:$AK$8,5)</f>
        <v>0</v>
      </c>
      <c r="H5" s="216">
        <f>VLOOKUP($AP5,$AC$5:$AK$8,6)</f>
        <v>0</v>
      </c>
      <c r="I5" s="216">
        <f>VLOOKUP($AP5,$AC$5:$AK$8,7)</f>
        <v>2</v>
      </c>
      <c r="J5" s="216">
        <f>VLOOKUP($AP5,$AC$5:$AK$8,8)</f>
        <v>0</v>
      </c>
      <c r="K5" s="217">
        <f>I5-J5</f>
        <v>2</v>
      </c>
      <c r="L5" s="197">
        <v>5</v>
      </c>
      <c r="M5" s="200" t="s">
        <v>104</v>
      </c>
      <c r="N5" s="197">
        <v>4</v>
      </c>
      <c r="O5" s="202" t="str">
        <f>Copa2022!E14</f>
        <v>Holanda</v>
      </c>
      <c r="P5" s="202" t="str">
        <f>IF(Copa2022!F14="","",Copa2022!F14)</f>
        <v/>
      </c>
      <c r="Q5" s="202" t="str">
        <f>Copa2022!G14</f>
        <v>x</v>
      </c>
      <c r="R5" s="202" t="str">
        <f>IF(Copa2022!H14="","",Copa2022!H14)</f>
        <v/>
      </c>
      <c r="S5" s="202" t="str">
        <f>Copa2022!I14</f>
        <v>Equador</v>
      </c>
      <c r="V5" s="197" t="b">
        <f t="shared" si="0"/>
        <v>0</v>
      </c>
      <c r="W5" s="199" t="str">
        <f t="shared" si="1"/>
        <v/>
      </c>
      <c r="X5" s="199" t="str">
        <f t="shared" si="2"/>
        <v/>
      </c>
      <c r="Y5" s="199" t="b">
        <f t="shared" si="3"/>
        <v>0</v>
      </c>
      <c r="Z5" s="199" t="b">
        <f t="shared" si="4"/>
        <v>0</v>
      </c>
      <c r="AA5" s="199"/>
      <c r="AB5" s="218">
        <v>1</v>
      </c>
      <c r="AC5" s="219" t="s">
        <v>141</v>
      </c>
      <c r="AD5" s="220">
        <f>(3*AF5)+AH5</f>
        <v>0</v>
      </c>
      <c r="AE5" s="220">
        <f>AF5+AG5+AH5</f>
        <v>1</v>
      </c>
      <c r="AF5" s="220">
        <f>COUNTIF(W$2:W$49,$AC5)</f>
        <v>0</v>
      </c>
      <c r="AG5" s="220">
        <f>COUNTIF(X$2:X$49,$AC5)</f>
        <v>1</v>
      </c>
      <c r="AH5" s="220">
        <f>COUNTIF(Y$2:Z$49,$AC5)</f>
        <v>0</v>
      </c>
      <c r="AI5" s="220">
        <f t="shared" ref="AI5:AI37" si="5">SUMIF($O$2:$O$49,AC5,$P$2:$P$49)+SUMIF($S$2:$S$49,AC5,$R$2:$R$49)</f>
        <v>0</v>
      </c>
      <c r="AJ5" s="220">
        <f t="shared" ref="AJ5:AJ37" si="6">SUMIF($O$2:$O$49,AC5,$R$2:$R$49)+SUMIF($S$2:$S$49,AC5,$P$2:$P$49)</f>
        <v>2</v>
      </c>
      <c r="AK5" s="220">
        <f t="shared" ref="AK5:AK37" si="7">AI5-AJ5</f>
        <v>-2</v>
      </c>
      <c r="AL5" s="221">
        <v>1</v>
      </c>
      <c r="AM5" s="203">
        <f>(10^6)*AD5+(10^2)*AK5+10*AI5+AL5</f>
        <v>-199</v>
      </c>
      <c r="AN5" s="203">
        <f>LARGE($AM$5:$AM$8,AL5)</f>
        <v>3000223</v>
      </c>
      <c r="AO5" s="203">
        <f>MATCH(AN5,$AM$5:$AM$8,0)</f>
        <v>3</v>
      </c>
      <c r="AP5" s="203" t="str">
        <f>VLOOKUP(AO5,$AB$5:$AC$8,2)</f>
        <v>Holanda</v>
      </c>
      <c r="AQ5" s="199">
        <v>1</v>
      </c>
      <c r="AR5" s="207">
        <f t="shared" ref="AR5:AR36" si="8">AM5-AL5</f>
        <v>-200</v>
      </c>
      <c r="AS5" s="199">
        <f>LARGE($AR$5:$AR$8,AL5)</f>
        <v>3000220</v>
      </c>
      <c r="AT5" s="580" t="s">
        <v>46</v>
      </c>
      <c r="AU5" s="197">
        <v>0.01</v>
      </c>
      <c r="AV5" s="222">
        <v>1</v>
      </c>
      <c r="AW5" s="197" t="str">
        <f>M1</f>
        <v>Alemanha</v>
      </c>
      <c r="AX5" s="199">
        <f>SUMIF($O$2:$O$65,AW5,$P$2:$P$65)+SUMIF($S$2:$S$65,AW5,$R$2:$R$65)</f>
        <v>0</v>
      </c>
      <c r="AY5" s="197">
        <f>(10^4)*AX5+AU5</f>
        <v>0.01</v>
      </c>
      <c r="AZ5" s="197">
        <f>LARGE($AY$5:$AY$36,AV5)</f>
        <v>60000.2</v>
      </c>
      <c r="BA5" s="199">
        <f>MATCH(AZ5,$AY$5:$AY$36,0)</f>
        <v>20</v>
      </c>
      <c r="BB5" s="197" t="str">
        <f>VLOOKUP(BA5,$AV$5:$AX$36,2)</f>
        <v>Inglaterra</v>
      </c>
      <c r="BC5" s="199">
        <f>VLOOKUP(BA5,$AV$5:$AX$36,3)</f>
        <v>6</v>
      </c>
      <c r="BE5" s="197">
        <v>0.01</v>
      </c>
      <c r="BF5" s="222">
        <v>1</v>
      </c>
      <c r="BG5" s="197" t="str">
        <f>AW5</f>
        <v>Alemanha</v>
      </c>
      <c r="BH5" s="199">
        <f>SUMIF($O$2:$O$65,BG5,$R$2:$R$65)+SUMIF($S$2:$S$65,BG5,$P$2:$P$65)</f>
        <v>0</v>
      </c>
      <c r="BI5" s="197">
        <f>(10^4)*BH5+BE5</f>
        <v>0.01</v>
      </c>
      <c r="BJ5" s="197">
        <f>SMALL($BI$5:$BI$36,BF5)</f>
        <v>0.01</v>
      </c>
      <c r="BK5" s="199">
        <f>MATCH(BJ5,$BI$5:$BI$36,0)</f>
        <v>1</v>
      </c>
      <c r="BL5" s="197" t="str">
        <f>VLOOKUP(BK5,$BF$5:$BH$36,2)</f>
        <v>Alemanha</v>
      </c>
      <c r="BM5" s="199">
        <f>VLOOKUP(BK5,$BF$5:$BH$36,3)</f>
        <v>0</v>
      </c>
      <c r="BN5" s="197">
        <v>1</v>
      </c>
      <c r="BO5" s="197" t="str">
        <f>AW5</f>
        <v>Alemanha</v>
      </c>
      <c r="BP5" s="199">
        <f>3*BR5+BT5</f>
        <v>0</v>
      </c>
      <c r="BQ5" s="199">
        <f>BR5+BS5+BT5</f>
        <v>0</v>
      </c>
      <c r="BR5" s="199">
        <f>COUNTIF($Z$2:$Z$65,CONCATENATE("vit.",$L1))+COUNTIF($AA$2:$AA$65,CONCATENATE("VIT.",$L1))</f>
        <v>0</v>
      </c>
      <c r="BS5" s="199">
        <f>COUNTIF($Z$2:$Z$65,CONCATENATE("der.",$L1))+COUNTIF($AA$2:$AA$65,CONCATENATE("der.",$L1))</f>
        <v>0</v>
      </c>
      <c r="BT5" s="199">
        <f>COUNTIF($Z$2:$Z$65,CONCATENATE("emp.",$L1))+COUNTIF($AA$2:$AA$65,CONCATENATE("emp.",$L1))</f>
        <v>0</v>
      </c>
      <c r="BU5" s="199">
        <f>SUMIF($O$2:$O$65,BO5,$P$2:$P$65)+SUMIF($S$2:$S$65,BO5,$R$2:$R$65)</f>
        <v>0</v>
      </c>
      <c r="BV5" s="199">
        <f>SUMIF($O$2:$O$65,BO5,$R$2:$R$65)+SUMIF($S$2:$S$65,BO5,$P$2:$P$65)</f>
        <v>0</v>
      </c>
      <c r="BW5" s="199">
        <f>BU5-BV5</f>
        <v>0</v>
      </c>
      <c r="BX5" s="197">
        <v>9.9000000000000005E-2</v>
      </c>
      <c r="BY5" s="204">
        <f>(10^8)*BP5+(10^4)*BW5+(10^2)*BU5+BX5</f>
        <v>9.9000000000000005E-2</v>
      </c>
      <c r="BZ5" s="204">
        <f>LARGE(BY$5:$BY$36,BN5)</f>
        <v>40600.080000000002</v>
      </c>
      <c r="CA5" s="203">
        <f>MATCH(BZ5,BY$5:BY$36,0)</f>
        <v>20</v>
      </c>
      <c r="CB5" s="203" t="str">
        <f t="shared" ref="CB5:CB36" si="9">VLOOKUP(CA5,BN$5:BO$36,2)</f>
        <v>Inglaterra</v>
      </c>
      <c r="CC5" s="199">
        <v>1</v>
      </c>
      <c r="CD5" s="207">
        <f>BY5-BX5</f>
        <v>0</v>
      </c>
      <c r="CE5" s="203">
        <f>LARGE($CD$5:CD$36,BN5)</f>
        <v>40600</v>
      </c>
    </row>
    <row r="6" spans="1:83" ht="15" x14ac:dyDescent="0.2">
      <c r="B6" s="214" t="str">
        <f>AQ6</f>
        <v>-</v>
      </c>
      <c r="C6" s="215" t="str">
        <f>AP6</f>
        <v>Equador</v>
      </c>
      <c r="D6" s="216">
        <f>3*F6+H6</f>
        <v>3</v>
      </c>
      <c r="E6" s="216">
        <f>F6+G6+H6</f>
        <v>1</v>
      </c>
      <c r="F6" s="216">
        <f>VLOOKUP($AP6,$AC$5:$AK$8,4)</f>
        <v>1</v>
      </c>
      <c r="G6" s="216">
        <f>VLOOKUP($AP6,$AC$5:$AK$8,5)</f>
        <v>0</v>
      </c>
      <c r="H6" s="216">
        <f>VLOOKUP($AP6,$AC$5:$AK$8,6)</f>
        <v>0</v>
      </c>
      <c r="I6" s="216">
        <f>VLOOKUP($AP6,$AC$5:$AK$8,7)</f>
        <v>2</v>
      </c>
      <c r="J6" s="216">
        <f>VLOOKUP($AP6,$AC$5:$AK$8,8)</f>
        <v>0</v>
      </c>
      <c r="K6" s="217">
        <f>I6-J6</f>
        <v>2</v>
      </c>
      <c r="L6" s="197">
        <v>6</v>
      </c>
      <c r="M6" s="200" t="s">
        <v>10</v>
      </c>
      <c r="N6" s="197">
        <v>5</v>
      </c>
      <c r="O6" s="202" t="str">
        <f>Copa2022!E15</f>
        <v>Holanda</v>
      </c>
      <c r="P6" s="202" t="str">
        <f>IF(Copa2022!F15="","",Copa2022!F15)</f>
        <v/>
      </c>
      <c r="Q6" s="202" t="str">
        <f>Copa2022!G15</f>
        <v>x</v>
      </c>
      <c r="R6" s="202" t="str">
        <f>IF(Copa2022!H15="","",Copa2022!H15)</f>
        <v/>
      </c>
      <c r="S6" s="202" t="str">
        <f>Copa2022!I15</f>
        <v>Catar</v>
      </c>
      <c r="V6" s="197" t="b">
        <f t="shared" si="0"/>
        <v>0</v>
      </c>
      <c r="W6" s="199" t="str">
        <f t="shared" si="1"/>
        <v/>
      </c>
      <c r="X6" s="199" t="str">
        <f t="shared" si="2"/>
        <v/>
      </c>
      <c r="Y6" s="199" t="b">
        <f t="shared" si="3"/>
        <v>0</v>
      </c>
      <c r="Z6" s="199" t="b">
        <f t="shared" si="4"/>
        <v>0</v>
      </c>
      <c r="AA6" s="199"/>
      <c r="AB6" s="223">
        <v>2</v>
      </c>
      <c r="AC6" s="200" t="s">
        <v>142</v>
      </c>
      <c r="AD6" s="199">
        <f t="shared" ref="AD6:AD36" si="10">(3*AF6)+AH6</f>
        <v>3</v>
      </c>
      <c r="AE6" s="199">
        <f t="shared" ref="AE6:AE36" si="11">AF6+AG6+AH6</f>
        <v>1</v>
      </c>
      <c r="AF6" s="199">
        <f t="shared" ref="AF6:AF36" si="12">COUNTIF(W$2:W$49,$AC6)</f>
        <v>1</v>
      </c>
      <c r="AG6" s="199">
        <f t="shared" ref="AG6:AG36" si="13">COUNTIF(X$2:X$49,$AC6)</f>
        <v>0</v>
      </c>
      <c r="AH6" s="199">
        <f t="shared" ref="AH6:AH36" si="14">COUNTIF(Y$2:Z$49,$AC6)</f>
        <v>0</v>
      </c>
      <c r="AI6" s="199">
        <f t="shared" si="5"/>
        <v>2</v>
      </c>
      <c r="AJ6" s="199">
        <f t="shared" si="6"/>
        <v>0</v>
      </c>
      <c r="AK6" s="199">
        <f t="shared" si="7"/>
        <v>2</v>
      </c>
      <c r="AL6" s="224">
        <v>2</v>
      </c>
      <c r="AM6" s="203">
        <f t="shared" ref="AM6:AM36" si="15">(10^6)*AD6+(10^2)*AK6+10*AI6+AL6</f>
        <v>3000222</v>
      </c>
      <c r="AN6" s="203">
        <f>LARGE($AM$5:$AM$8,AL6)</f>
        <v>3000222</v>
      </c>
      <c r="AO6" s="203">
        <f>MATCH(AN6,$AM$5:$AM$8,0)</f>
        <v>2</v>
      </c>
      <c r="AP6" s="203" t="str">
        <f>VLOOKUP(AO6,$AB$5:$AC$8,2)</f>
        <v>Equador</v>
      </c>
      <c r="AQ6" s="199" t="str">
        <f>IF(AS5=AS6,"-",2)</f>
        <v>-</v>
      </c>
      <c r="AR6" s="207">
        <f t="shared" si="8"/>
        <v>3000220</v>
      </c>
      <c r="AS6" s="199">
        <f>LARGE($AR$5:$AR$8,AL6)</f>
        <v>3000220</v>
      </c>
      <c r="AT6" s="581"/>
      <c r="AU6" s="197">
        <v>0.02</v>
      </c>
      <c r="AV6" s="222">
        <v>2</v>
      </c>
      <c r="AW6" s="197" t="str">
        <f t="shared" ref="AW6:AW36" si="16">M2</f>
        <v>Arábia Saudita</v>
      </c>
      <c r="AX6" s="199">
        <f t="shared" ref="AX6:AX36" si="17">SUMIF($O$2:$O$65,AW6,$P$2:$P$65)+SUMIF($S$2:$S$65,AW6,$R$2:$R$65)</f>
        <v>2</v>
      </c>
      <c r="AY6" s="197">
        <f t="shared" ref="AY6:AY36" si="18">(10^4)*AX6+AU6</f>
        <v>20000.02</v>
      </c>
      <c r="AZ6" s="197">
        <f t="shared" ref="AZ6:AZ36" si="19">LARGE($AY$5:$AY$36,AV6)</f>
        <v>40000.17</v>
      </c>
      <c r="BA6" s="199">
        <f t="shared" ref="BA6:BA36" si="20">MATCH(AZ6,$AY$5:$AY$36,0)</f>
        <v>17</v>
      </c>
      <c r="BB6" s="197" t="str">
        <f t="shared" ref="BB6:BB36" si="21">VLOOKUP(BA6,$AV$5:$AX$36,2)</f>
        <v>França</v>
      </c>
      <c r="BC6" s="199">
        <f t="shared" ref="BC6:BC36" si="22">VLOOKUP(BA6,$AV$5:$AX$36,3)</f>
        <v>4</v>
      </c>
      <c r="BE6" s="197">
        <v>0.02</v>
      </c>
      <c r="BF6" s="222">
        <v>2</v>
      </c>
      <c r="BG6" s="197" t="str">
        <f t="shared" ref="BG6:BG36" si="23">AW6</f>
        <v>Arábia Saudita</v>
      </c>
      <c r="BH6" s="199">
        <f t="shared" ref="BH6:BH36" si="24">SUMIF($O$2:$O$65,BG6,$R$2:$R$65)+SUMIF($S$2:$S$65,BG6,$P$2:$P$65)</f>
        <v>1</v>
      </c>
      <c r="BI6" s="197">
        <f t="shared" ref="BI6:BI36" si="25">(10^4)*BH6+BE6</f>
        <v>10000.02</v>
      </c>
      <c r="BJ6" s="197">
        <f t="shared" ref="BJ6:BJ36" si="26">SMALL($BI$5:$BI$36,BF6)</f>
        <v>0.05</v>
      </c>
      <c r="BK6" s="199">
        <f t="shared" ref="BK6:BK36" si="27">MATCH(BJ6,$BI$5:$BI$36,0)</f>
        <v>5</v>
      </c>
      <c r="BL6" s="197" t="str">
        <f t="shared" ref="BL6:BL36" si="28">VLOOKUP(BK6,$BF$5:$BH$36,2)</f>
        <v>Bélgica</v>
      </c>
      <c r="BM6" s="199">
        <f t="shared" ref="BM6:BM36" si="29">VLOOKUP(BK6,$BF$5:$BH$36,3)</f>
        <v>0</v>
      </c>
      <c r="BN6" s="197">
        <v>2</v>
      </c>
      <c r="BO6" s="197" t="str">
        <f t="shared" ref="BO6:BO36" si="30">AW6</f>
        <v>Arábia Saudita</v>
      </c>
      <c r="BP6" s="199">
        <f t="shared" ref="BP6:BP36" si="31">3*BR6+BT6</f>
        <v>0</v>
      </c>
      <c r="BQ6" s="199">
        <f t="shared" ref="BQ6:BQ36" si="32">BR6+BS6+BT6</f>
        <v>0</v>
      </c>
      <c r="BR6" s="199">
        <f t="shared" ref="BR6:BR36" si="33">COUNTIF($Z$2:$Z$65,CONCATENATE("vit.",$L2))+COUNTIF($AA$2:$AA$65,CONCATENATE("VIT.",$L2))</f>
        <v>0</v>
      </c>
      <c r="BS6" s="199">
        <f t="shared" ref="BS6:BS36" si="34">COUNTIF($Z$2:$Z$65,CONCATENATE("der.",$L2))+COUNTIF($AA$2:$AA$65,CONCATENATE("der.",$L2))</f>
        <v>0</v>
      </c>
      <c r="BT6" s="199">
        <f t="shared" ref="BT6:BT36" si="35">COUNTIF($Z$2:$Z$65,CONCATENATE("emp.",$L2))+COUNTIF($AA$2:$AA$65,CONCATENATE("emp.",$L2))</f>
        <v>0</v>
      </c>
      <c r="BU6" s="199">
        <f t="shared" ref="BU6:BU36" si="36">SUMIF($O$2:$O$65,BO6,$P$2:$P$65)+SUMIF($S$2:$S$65,BO6,$R$2:$R$65)</f>
        <v>2</v>
      </c>
      <c r="BV6" s="199">
        <f t="shared" ref="BV6:BV36" si="37">SUMIF($O$2:$O$65,BO6,$R$2:$R$65)+SUMIF($S$2:$S$65,BO6,$P$2:$P$65)</f>
        <v>1</v>
      </c>
      <c r="BW6" s="199">
        <f t="shared" ref="BW6:BW36" si="38">BU6-BV6</f>
        <v>1</v>
      </c>
      <c r="BX6" s="197">
        <v>9.8000000000000004E-2</v>
      </c>
      <c r="BY6" s="204">
        <f t="shared" ref="BY6:BY36" si="39">(10^8)*BP6+(10^4)*BW6+(10^2)*BU6+BX6</f>
        <v>10200.098</v>
      </c>
      <c r="BZ6" s="204">
        <f>LARGE(BY$5:$BY$36,BN6)</f>
        <v>30400.082999999999</v>
      </c>
      <c r="CA6" s="203">
        <f t="shared" ref="CA6:CA36" si="40">MATCH(BZ6,BY$5:BY$36,0)</f>
        <v>17</v>
      </c>
      <c r="CB6" s="203" t="str">
        <f t="shared" si="9"/>
        <v>França</v>
      </c>
      <c r="CC6" s="199">
        <f>IF(CE5=CE6,"-",BN6)</f>
        <v>2</v>
      </c>
      <c r="CD6" s="207">
        <f t="shared" ref="CD6:CD36" si="41">BY6-BX6</f>
        <v>10200</v>
      </c>
      <c r="CE6" s="203">
        <f>LARGE($CD$5:CD$36,BN6)</f>
        <v>30400</v>
      </c>
    </row>
    <row r="7" spans="1:83" ht="15" x14ac:dyDescent="0.2">
      <c r="B7" s="214">
        <f>AQ7</f>
        <v>3</v>
      </c>
      <c r="C7" s="215" t="str">
        <f>AP7</f>
        <v>Senegal</v>
      </c>
      <c r="D7" s="216">
        <f>3*F7+H7</f>
        <v>0</v>
      </c>
      <c r="E7" s="216">
        <f>F7+G7+H7</f>
        <v>1</v>
      </c>
      <c r="F7" s="216">
        <f>VLOOKUP($AP7,$AC$5:$AK$8,4)</f>
        <v>0</v>
      </c>
      <c r="G7" s="216">
        <f>VLOOKUP($AP7,$AC$5:$AK$8,5)</f>
        <v>1</v>
      </c>
      <c r="H7" s="216">
        <f>VLOOKUP($AP7,$AC$5:$AK$8,6)</f>
        <v>0</v>
      </c>
      <c r="I7" s="216">
        <f>VLOOKUP($AP7,$AC$5:$AK$8,7)</f>
        <v>0</v>
      </c>
      <c r="J7" s="216">
        <f>VLOOKUP($AP7,$AC$5:$AK$8,8)</f>
        <v>2</v>
      </c>
      <c r="K7" s="217">
        <f>I7-J7</f>
        <v>-2</v>
      </c>
      <c r="L7" s="197">
        <v>7</v>
      </c>
      <c r="M7" s="200" t="s">
        <v>151</v>
      </c>
      <c r="N7" s="197">
        <v>6</v>
      </c>
      <c r="O7" s="202" t="str">
        <f>Copa2022!E16</f>
        <v>Equador</v>
      </c>
      <c r="P7" s="202" t="str">
        <f>IF(Copa2022!F16="","",Copa2022!F16)</f>
        <v/>
      </c>
      <c r="Q7" s="202" t="str">
        <f>Copa2022!G16</f>
        <v>x</v>
      </c>
      <c r="R7" s="202" t="str">
        <f>IF(Copa2022!H16="","",Copa2022!H16)</f>
        <v/>
      </c>
      <c r="S7" s="202" t="str">
        <f>Copa2022!I16</f>
        <v>Senegal</v>
      </c>
      <c r="V7" s="225" t="b">
        <f t="shared" si="0"/>
        <v>0</v>
      </c>
      <c r="W7" s="199" t="str">
        <f t="shared" si="1"/>
        <v/>
      </c>
      <c r="X7" s="199" t="str">
        <f t="shared" si="2"/>
        <v/>
      </c>
      <c r="Y7" s="199" t="b">
        <f t="shared" si="3"/>
        <v>0</v>
      </c>
      <c r="Z7" s="199" t="b">
        <f t="shared" si="4"/>
        <v>0</v>
      </c>
      <c r="AA7" s="226"/>
      <c r="AB7" s="223">
        <v>3</v>
      </c>
      <c r="AC7" s="200" t="s">
        <v>140</v>
      </c>
      <c r="AD7" s="199">
        <f t="shared" si="10"/>
        <v>3</v>
      </c>
      <c r="AE7" s="199">
        <f t="shared" si="11"/>
        <v>1</v>
      </c>
      <c r="AF7" s="199">
        <f t="shared" si="12"/>
        <v>1</v>
      </c>
      <c r="AG7" s="199">
        <f t="shared" si="13"/>
        <v>0</v>
      </c>
      <c r="AH7" s="199">
        <f t="shared" si="14"/>
        <v>0</v>
      </c>
      <c r="AI7" s="199">
        <f t="shared" si="5"/>
        <v>2</v>
      </c>
      <c r="AJ7" s="199">
        <f t="shared" si="6"/>
        <v>0</v>
      </c>
      <c r="AK7" s="199">
        <f t="shared" si="7"/>
        <v>2</v>
      </c>
      <c r="AL7" s="224">
        <v>3</v>
      </c>
      <c r="AM7" s="203">
        <f t="shared" si="15"/>
        <v>3000223</v>
      </c>
      <c r="AN7" s="203">
        <f>LARGE($AM$5:$AM$8,AL7)</f>
        <v>-196</v>
      </c>
      <c r="AO7" s="203">
        <f>MATCH(AN7,$AM$5:$AM$8,0)</f>
        <v>4</v>
      </c>
      <c r="AP7" s="203" t="str">
        <f>VLOOKUP(AO7,$AB$5:$AC$8,2)</f>
        <v>Senegal</v>
      </c>
      <c r="AQ7" s="199">
        <f>IF(AS6=AS7,"-",3)</f>
        <v>3</v>
      </c>
      <c r="AR7" s="207">
        <f t="shared" si="8"/>
        <v>3000220</v>
      </c>
      <c r="AS7" s="199">
        <f>LARGE($AR$5:$AR$8,AL7)</f>
        <v>-200</v>
      </c>
      <c r="AT7" s="581"/>
      <c r="AU7" s="197">
        <v>0.03</v>
      </c>
      <c r="AV7" s="222">
        <v>3</v>
      </c>
      <c r="AW7" s="197" t="str">
        <f t="shared" si="16"/>
        <v>Argentina</v>
      </c>
      <c r="AX7" s="199">
        <f t="shared" si="17"/>
        <v>1</v>
      </c>
      <c r="AY7" s="197">
        <f t="shared" si="18"/>
        <v>10000.030000000001</v>
      </c>
      <c r="AZ7" s="197">
        <f t="shared" si="19"/>
        <v>20000.21</v>
      </c>
      <c r="BA7" s="199">
        <f t="shared" si="20"/>
        <v>21</v>
      </c>
      <c r="BB7" s="197" t="str">
        <f t="shared" si="21"/>
        <v>Irã</v>
      </c>
      <c r="BC7" s="199">
        <f t="shared" si="22"/>
        <v>2</v>
      </c>
      <c r="BE7" s="197">
        <v>0.03</v>
      </c>
      <c r="BF7" s="222">
        <v>3</v>
      </c>
      <c r="BG7" s="197" t="str">
        <f t="shared" si="23"/>
        <v>Argentina</v>
      </c>
      <c r="BH7" s="199">
        <f t="shared" si="24"/>
        <v>2</v>
      </c>
      <c r="BI7" s="197">
        <f t="shared" si="25"/>
        <v>20000.03</v>
      </c>
      <c r="BJ7" s="197">
        <f t="shared" si="26"/>
        <v>0.06</v>
      </c>
      <c r="BK7" s="199">
        <f t="shared" si="27"/>
        <v>6</v>
      </c>
      <c r="BL7" s="197" t="str">
        <f t="shared" si="28"/>
        <v>Brasil</v>
      </c>
      <c r="BM7" s="199">
        <f t="shared" si="29"/>
        <v>0</v>
      </c>
      <c r="BN7" s="197">
        <v>3</v>
      </c>
      <c r="BO7" s="197" t="str">
        <f t="shared" si="30"/>
        <v>Argentina</v>
      </c>
      <c r="BP7" s="199">
        <f t="shared" si="31"/>
        <v>0</v>
      </c>
      <c r="BQ7" s="199">
        <f t="shared" si="32"/>
        <v>0</v>
      </c>
      <c r="BR7" s="199">
        <f t="shared" si="33"/>
        <v>0</v>
      </c>
      <c r="BS7" s="199">
        <f t="shared" si="34"/>
        <v>0</v>
      </c>
      <c r="BT7" s="199">
        <f t="shared" si="35"/>
        <v>0</v>
      </c>
      <c r="BU7" s="199">
        <f t="shared" si="36"/>
        <v>1</v>
      </c>
      <c r="BV7" s="199">
        <f t="shared" si="37"/>
        <v>2</v>
      </c>
      <c r="BW7" s="199">
        <f t="shared" si="38"/>
        <v>-1</v>
      </c>
      <c r="BX7" s="197">
        <v>9.7000000000000003E-2</v>
      </c>
      <c r="BY7" s="204">
        <f t="shared" si="39"/>
        <v>-9899.9030000000002</v>
      </c>
      <c r="BZ7" s="204">
        <f>LARGE(BY$5:$BY$36,BN7)</f>
        <v>20200.085999999999</v>
      </c>
      <c r="CA7" s="203">
        <f t="shared" si="40"/>
        <v>14</v>
      </c>
      <c r="CB7" s="203" t="str">
        <f t="shared" si="9"/>
        <v>Equador</v>
      </c>
      <c r="CC7" s="199">
        <f t="shared" ref="CC7:CC36" si="42">IF(CE6=CE7,"-",BN7)</f>
        <v>3</v>
      </c>
      <c r="CD7" s="207">
        <f t="shared" si="41"/>
        <v>-9900</v>
      </c>
      <c r="CE7" s="203">
        <f>LARGE($CD$5:CD$36,BN7)</f>
        <v>20200</v>
      </c>
    </row>
    <row r="8" spans="1:83" ht="15.75" thickBot="1" x14ac:dyDescent="0.25">
      <c r="B8" s="227" t="str">
        <f>AQ8</f>
        <v>-</v>
      </c>
      <c r="C8" s="228" t="str">
        <f>AP8</f>
        <v>Catar</v>
      </c>
      <c r="D8" s="229">
        <f>3*F8+H8</f>
        <v>0</v>
      </c>
      <c r="E8" s="229">
        <f>F8+G8+H8</f>
        <v>1</v>
      </c>
      <c r="F8" s="229">
        <f>VLOOKUP($AP8,$AC$5:$AK$8,4)</f>
        <v>0</v>
      </c>
      <c r="G8" s="229">
        <f>VLOOKUP($AP8,$AC$5:$AK$8,5)</f>
        <v>1</v>
      </c>
      <c r="H8" s="229">
        <f>VLOOKUP($AP8,$AC$5:$AK$8,6)</f>
        <v>0</v>
      </c>
      <c r="I8" s="229">
        <f>VLOOKUP($AP8,$AC$5:$AK$8,7)</f>
        <v>0</v>
      </c>
      <c r="J8" s="229">
        <f>VLOOKUP($AP8,$AC$5:$AK$8,8)</f>
        <v>2</v>
      </c>
      <c r="K8" s="230">
        <f>I8-J8</f>
        <v>-2</v>
      </c>
      <c r="L8" s="197">
        <v>8</v>
      </c>
      <c r="M8" s="200" t="s">
        <v>150</v>
      </c>
      <c r="N8" s="197">
        <v>7</v>
      </c>
      <c r="O8" s="202" t="str">
        <f>Copa2022!E17</f>
        <v>Inglaterra</v>
      </c>
      <c r="P8" s="202">
        <f>IF(Copa2022!F17="","",Copa2022!F17)</f>
        <v>6</v>
      </c>
      <c r="Q8" s="202" t="str">
        <f>Copa2022!G17</f>
        <v>x</v>
      </c>
      <c r="R8" s="202">
        <f>IF(Copa2022!H17="","",Copa2022!H17)</f>
        <v>2</v>
      </c>
      <c r="S8" s="202" t="str">
        <f>Copa2022!I17</f>
        <v>Irã</v>
      </c>
      <c r="V8" s="197" t="b">
        <f t="shared" si="0"/>
        <v>1</v>
      </c>
      <c r="W8" s="199" t="str">
        <f t="shared" si="1"/>
        <v>Inglaterra</v>
      </c>
      <c r="X8" s="199" t="str">
        <f t="shared" si="2"/>
        <v>Irã</v>
      </c>
      <c r="Y8" s="199" t="str">
        <f t="shared" si="3"/>
        <v/>
      </c>
      <c r="Z8" s="199" t="str">
        <f t="shared" si="4"/>
        <v/>
      </c>
      <c r="AA8" s="199"/>
      <c r="AB8" s="231">
        <v>4</v>
      </c>
      <c r="AC8" s="232" t="s">
        <v>131</v>
      </c>
      <c r="AD8" s="226">
        <f t="shared" si="10"/>
        <v>0</v>
      </c>
      <c r="AE8" s="226">
        <f t="shared" si="11"/>
        <v>1</v>
      </c>
      <c r="AF8" s="226">
        <f t="shared" si="12"/>
        <v>0</v>
      </c>
      <c r="AG8" s="226">
        <f t="shared" si="13"/>
        <v>1</v>
      </c>
      <c r="AH8" s="226">
        <f t="shared" si="14"/>
        <v>0</v>
      </c>
      <c r="AI8" s="226">
        <f t="shared" si="5"/>
        <v>0</v>
      </c>
      <c r="AJ8" s="226">
        <f t="shared" si="6"/>
        <v>2</v>
      </c>
      <c r="AK8" s="226">
        <f t="shared" si="7"/>
        <v>-2</v>
      </c>
      <c r="AL8" s="233">
        <v>4</v>
      </c>
      <c r="AM8" s="203">
        <f t="shared" si="15"/>
        <v>-196</v>
      </c>
      <c r="AN8" s="234">
        <f>LARGE($AM$5:$AM$8,AL8)</f>
        <v>-199</v>
      </c>
      <c r="AO8" s="234">
        <f>MATCH(AN8,$AM$5:$AM$8,0)</f>
        <v>1</v>
      </c>
      <c r="AP8" s="234" t="str">
        <f>VLOOKUP(AO8,$AB$5:$AC$8,2)</f>
        <v>Catar</v>
      </c>
      <c r="AQ8" s="226" t="str">
        <f>IF(AS7=AS8,"-",4)</f>
        <v>-</v>
      </c>
      <c r="AR8" s="235">
        <f t="shared" si="8"/>
        <v>-200</v>
      </c>
      <c r="AS8" s="226">
        <f>LARGE($AR$5:$AR$8,AL8)</f>
        <v>-200</v>
      </c>
      <c r="AT8" s="582"/>
      <c r="AU8" s="197">
        <v>0.04</v>
      </c>
      <c r="AV8" s="222">
        <v>4</v>
      </c>
      <c r="AW8" s="197" t="str">
        <f t="shared" si="16"/>
        <v>Austrália</v>
      </c>
      <c r="AX8" s="199">
        <f t="shared" si="17"/>
        <v>1</v>
      </c>
      <c r="AY8" s="197">
        <f t="shared" si="18"/>
        <v>10000.040000000001</v>
      </c>
      <c r="AZ8" s="197">
        <f t="shared" si="19"/>
        <v>20000.189999999999</v>
      </c>
      <c r="BA8" s="199">
        <f t="shared" si="20"/>
        <v>19</v>
      </c>
      <c r="BB8" s="197" t="str">
        <f t="shared" si="21"/>
        <v>Holanda</v>
      </c>
      <c r="BC8" s="199">
        <f t="shared" si="22"/>
        <v>2</v>
      </c>
      <c r="BE8" s="197">
        <v>0.04</v>
      </c>
      <c r="BF8" s="222">
        <v>4</v>
      </c>
      <c r="BG8" s="197" t="str">
        <f t="shared" si="23"/>
        <v>Austrália</v>
      </c>
      <c r="BH8" s="199">
        <f t="shared" si="24"/>
        <v>4</v>
      </c>
      <c r="BI8" s="197">
        <f t="shared" si="25"/>
        <v>40000.04</v>
      </c>
      <c r="BJ8" s="197">
        <f t="shared" si="26"/>
        <v>7.0000000000000007E-2</v>
      </c>
      <c r="BK8" s="199">
        <f t="shared" si="27"/>
        <v>7</v>
      </c>
      <c r="BL8" s="197" t="str">
        <f t="shared" si="28"/>
        <v>Camarões</v>
      </c>
      <c r="BM8" s="199">
        <f t="shared" si="29"/>
        <v>0</v>
      </c>
      <c r="BN8" s="197">
        <v>4</v>
      </c>
      <c r="BO8" s="197" t="str">
        <f t="shared" si="30"/>
        <v>Austrália</v>
      </c>
      <c r="BP8" s="199">
        <f t="shared" si="31"/>
        <v>0</v>
      </c>
      <c r="BQ8" s="199">
        <f t="shared" si="32"/>
        <v>0</v>
      </c>
      <c r="BR8" s="199">
        <f t="shared" si="33"/>
        <v>0</v>
      </c>
      <c r="BS8" s="199">
        <f t="shared" si="34"/>
        <v>0</v>
      </c>
      <c r="BT8" s="199">
        <f t="shared" si="35"/>
        <v>0</v>
      </c>
      <c r="BU8" s="199">
        <f t="shared" si="36"/>
        <v>1</v>
      </c>
      <c r="BV8" s="199">
        <f t="shared" si="37"/>
        <v>4</v>
      </c>
      <c r="BW8" s="199">
        <f t="shared" si="38"/>
        <v>-3</v>
      </c>
      <c r="BX8" s="197">
        <v>9.6000000000000002E-2</v>
      </c>
      <c r="BY8" s="204">
        <f t="shared" si="39"/>
        <v>-29899.903999999999</v>
      </c>
      <c r="BZ8" s="204">
        <f>LARGE(BY$5:$BY$36,BN8)</f>
        <v>20200.080999999998</v>
      </c>
      <c r="CA8" s="203">
        <f t="shared" si="40"/>
        <v>19</v>
      </c>
      <c r="CB8" s="203" t="str">
        <f t="shared" si="9"/>
        <v>Holanda</v>
      </c>
      <c r="CC8" s="199" t="str">
        <f t="shared" si="42"/>
        <v>-</v>
      </c>
      <c r="CD8" s="207">
        <f t="shared" si="41"/>
        <v>-29900</v>
      </c>
      <c r="CE8" s="203">
        <f>LARGE($CD$5:CD$36,BN8)</f>
        <v>20200</v>
      </c>
    </row>
    <row r="9" spans="1:83" ht="15.75" thickBot="1" x14ac:dyDescent="0.25">
      <c r="B9" s="236"/>
      <c r="C9" s="237"/>
      <c r="D9" s="236"/>
      <c r="E9" s="236">
        <f>SUM(E5:E8)</f>
        <v>4</v>
      </c>
      <c r="F9" s="236"/>
      <c r="G9" s="236"/>
      <c r="H9" s="236"/>
      <c r="I9" s="236"/>
      <c r="J9" s="236"/>
      <c r="K9" s="236"/>
      <c r="L9" s="197">
        <v>9</v>
      </c>
      <c r="M9" s="200" t="s">
        <v>141</v>
      </c>
      <c r="N9" s="197">
        <v>8</v>
      </c>
      <c r="O9" s="202" t="str">
        <f>Copa2022!E18</f>
        <v>Estados Unidos</v>
      </c>
      <c r="P9" s="202">
        <f>IF(Copa2022!F18="","",Copa2022!F18)</f>
        <v>1</v>
      </c>
      <c r="Q9" s="202" t="str">
        <f>Copa2022!G18</f>
        <v>x</v>
      </c>
      <c r="R9" s="202">
        <f>IF(Copa2022!H18="","",Copa2022!H18)</f>
        <v>1</v>
      </c>
      <c r="S9" s="202" t="str">
        <f>Copa2022!I18</f>
        <v>País de Gales</v>
      </c>
      <c r="V9" s="197" t="b">
        <f t="shared" si="0"/>
        <v>1</v>
      </c>
      <c r="W9" s="199" t="str">
        <f t="shared" si="1"/>
        <v>empate</v>
      </c>
      <c r="X9" s="199" t="str">
        <f t="shared" si="2"/>
        <v>empate</v>
      </c>
      <c r="Y9" s="199" t="str">
        <f t="shared" si="3"/>
        <v>Estados Unidos</v>
      </c>
      <c r="Z9" s="199" t="str">
        <f t="shared" si="4"/>
        <v>País de Gales</v>
      </c>
      <c r="AA9" s="199"/>
      <c r="AB9" s="218">
        <v>1</v>
      </c>
      <c r="AC9" s="219" t="s">
        <v>145</v>
      </c>
      <c r="AD9" s="220">
        <f t="shared" si="10"/>
        <v>1</v>
      </c>
      <c r="AE9" s="220">
        <f t="shared" si="11"/>
        <v>1</v>
      </c>
      <c r="AF9" s="220">
        <f t="shared" si="12"/>
        <v>0</v>
      </c>
      <c r="AG9" s="220">
        <f t="shared" si="13"/>
        <v>0</v>
      </c>
      <c r="AH9" s="220">
        <f t="shared" si="14"/>
        <v>1</v>
      </c>
      <c r="AI9" s="220">
        <f t="shared" si="5"/>
        <v>1</v>
      </c>
      <c r="AJ9" s="220">
        <f t="shared" si="6"/>
        <v>1</v>
      </c>
      <c r="AK9" s="220">
        <f t="shared" si="7"/>
        <v>0</v>
      </c>
      <c r="AL9" s="221">
        <v>1</v>
      </c>
      <c r="AM9" s="203">
        <f t="shared" si="15"/>
        <v>1000011</v>
      </c>
      <c r="AN9" s="203">
        <f>LARGE($AM$9:$AM$12,AL9)</f>
        <v>3000462</v>
      </c>
      <c r="AO9" s="203">
        <f>MATCH(AN9,$AM$9:$AM$12,0)</f>
        <v>2</v>
      </c>
      <c r="AP9" s="203" t="str">
        <f>VLOOKUP(AO9,$AB$9:$AC$12,2)</f>
        <v>Inglaterra</v>
      </c>
      <c r="AQ9" s="199">
        <v>1</v>
      </c>
      <c r="AR9" s="207">
        <f t="shared" si="8"/>
        <v>1000010</v>
      </c>
      <c r="AS9" s="199">
        <f>LARGE($AR$9:$AR$12,AL9)</f>
        <v>3000460</v>
      </c>
      <c r="AT9" s="580" t="s">
        <v>47</v>
      </c>
      <c r="AU9" s="197">
        <v>0.05</v>
      </c>
      <c r="AV9" s="222">
        <v>5</v>
      </c>
      <c r="AW9" s="197" t="str">
        <f t="shared" si="16"/>
        <v>Bélgica</v>
      </c>
      <c r="AX9" s="199">
        <f t="shared" si="17"/>
        <v>0</v>
      </c>
      <c r="AY9" s="197">
        <f t="shared" si="18"/>
        <v>0.05</v>
      </c>
      <c r="AZ9" s="197">
        <f t="shared" si="19"/>
        <v>20000.14</v>
      </c>
      <c r="BA9" s="199">
        <f t="shared" si="20"/>
        <v>14</v>
      </c>
      <c r="BB9" s="197" t="str">
        <f t="shared" si="21"/>
        <v>Equador</v>
      </c>
      <c r="BC9" s="199">
        <f t="shared" si="22"/>
        <v>2</v>
      </c>
      <c r="BE9" s="197">
        <v>0.05</v>
      </c>
      <c r="BF9" s="222">
        <v>5</v>
      </c>
      <c r="BG9" s="197" t="str">
        <f t="shared" si="23"/>
        <v>Bélgica</v>
      </c>
      <c r="BH9" s="199">
        <f t="shared" si="24"/>
        <v>0</v>
      </c>
      <c r="BI9" s="197">
        <f t="shared" si="25"/>
        <v>0.05</v>
      </c>
      <c r="BJ9" s="197">
        <f t="shared" si="26"/>
        <v>0.08</v>
      </c>
      <c r="BK9" s="199">
        <f t="shared" si="27"/>
        <v>8</v>
      </c>
      <c r="BL9" s="197" t="str">
        <f t="shared" si="28"/>
        <v>Canadá</v>
      </c>
      <c r="BM9" s="199">
        <f t="shared" si="29"/>
        <v>0</v>
      </c>
      <c r="BN9" s="197">
        <v>5</v>
      </c>
      <c r="BO9" s="197" t="str">
        <f t="shared" si="30"/>
        <v>Bélgica</v>
      </c>
      <c r="BP9" s="199">
        <f t="shared" si="31"/>
        <v>0</v>
      </c>
      <c r="BQ9" s="199">
        <f t="shared" si="32"/>
        <v>0</v>
      </c>
      <c r="BR9" s="199">
        <f t="shared" si="33"/>
        <v>0</v>
      </c>
      <c r="BS9" s="199">
        <f t="shared" si="34"/>
        <v>0</v>
      </c>
      <c r="BT9" s="199">
        <f t="shared" si="35"/>
        <v>0</v>
      </c>
      <c r="BU9" s="199">
        <f t="shared" si="36"/>
        <v>0</v>
      </c>
      <c r="BV9" s="199">
        <f t="shared" si="37"/>
        <v>0</v>
      </c>
      <c r="BW9" s="199">
        <f t="shared" si="38"/>
        <v>0</v>
      </c>
      <c r="BX9" s="197">
        <v>9.5000000000000001E-2</v>
      </c>
      <c r="BY9" s="204">
        <f t="shared" si="39"/>
        <v>9.5000000000000001E-2</v>
      </c>
      <c r="BZ9" s="204">
        <f>LARGE(BY$5:$BY$36,BN9)</f>
        <v>10200.098</v>
      </c>
      <c r="CA9" s="203">
        <f t="shared" si="40"/>
        <v>2</v>
      </c>
      <c r="CB9" s="203" t="str">
        <f t="shared" si="9"/>
        <v>Arábia Saudita</v>
      </c>
      <c r="CC9" s="199">
        <f t="shared" si="42"/>
        <v>5</v>
      </c>
      <c r="CD9" s="207">
        <f t="shared" si="41"/>
        <v>0</v>
      </c>
      <c r="CE9" s="203">
        <f>LARGE($CD$5:CD$36,BN9)</f>
        <v>10200</v>
      </c>
    </row>
    <row r="10" spans="1:83" ht="15" x14ac:dyDescent="0.2">
      <c r="B10" s="584" t="s">
        <v>48</v>
      </c>
      <c r="C10" s="585"/>
      <c r="D10" s="212" t="s">
        <v>35</v>
      </c>
      <c r="E10" s="212" t="s">
        <v>36</v>
      </c>
      <c r="F10" s="212" t="s">
        <v>37</v>
      </c>
      <c r="G10" s="212" t="s">
        <v>38</v>
      </c>
      <c r="H10" s="212" t="s">
        <v>39</v>
      </c>
      <c r="I10" s="212" t="s">
        <v>40</v>
      </c>
      <c r="J10" s="212" t="s">
        <v>41</v>
      </c>
      <c r="K10" s="213" t="s">
        <v>42</v>
      </c>
      <c r="L10" s="197">
        <v>10</v>
      </c>
      <c r="M10" s="200" t="s">
        <v>5</v>
      </c>
      <c r="N10" s="197">
        <v>9</v>
      </c>
      <c r="O10" s="202" t="str">
        <f>Copa2022!E19</f>
        <v>País de Gales</v>
      </c>
      <c r="P10" s="202" t="str">
        <f>IF(Copa2022!F19="","",Copa2022!F19)</f>
        <v/>
      </c>
      <c r="Q10" s="202" t="str">
        <f>Copa2022!G19</f>
        <v>x</v>
      </c>
      <c r="R10" s="202" t="str">
        <f>IF(Copa2022!H19="","",Copa2022!H19)</f>
        <v/>
      </c>
      <c r="S10" s="202" t="str">
        <f>Copa2022!I19</f>
        <v>Irã</v>
      </c>
      <c r="V10" s="197" t="b">
        <f t="shared" si="0"/>
        <v>0</v>
      </c>
      <c r="W10" s="199" t="str">
        <f t="shared" si="1"/>
        <v/>
      </c>
      <c r="X10" s="199" t="str">
        <f t="shared" si="2"/>
        <v/>
      </c>
      <c r="Y10" s="199" t="b">
        <f t="shared" si="3"/>
        <v>0</v>
      </c>
      <c r="Z10" s="199" t="b">
        <f t="shared" si="4"/>
        <v>0</v>
      </c>
      <c r="AA10" s="199"/>
      <c r="AB10" s="223">
        <v>2</v>
      </c>
      <c r="AC10" s="200" t="s">
        <v>6</v>
      </c>
      <c r="AD10" s="199">
        <f t="shared" si="10"/>
        <v>3</v>
      </c>
      <c r="AE10" s="199">
        <f t="shared" si="11"/>
        <v>1</v>
      </c>
      <c r="AF10" s="199">
        <f t="shared" si="12"/>
        <v>1</v>
      </c>
      <c r="AG10" s="199">
        <f t="shared" si="13"/>
        <v>0</v>
      </c>
      <c r="AH10" s="199">
        <f t="shared" si="14"/>
        <v>0</v>
      </c>
      <c r="AI10" s="199">
        <f t="shared" si="5"/>
        <v>6</v>
      </c>
      <c r="AJ10" s="199">
        <f t="shared" si="6"/>
        <v>2</v>
      </c>
      <c r="AK10" s="199">
        <f t="shared" si="7"/>
        <v>4</v>
      </c>
      <c r="AL10" s="224">
        <v>2</v>
      </c>
      <c r="AM10" s="203">
        <f t="shared" si="15"/>
        <v>3000462</v>
      </c>
      <c r="AN10" s="203">
        <f>LARGE($AM$9:$AM$12,AL10)</f>
        <v>1000014</v>
      </c>
      <c r="AO10" s="203">
        <f>MATCH(AN10,$AM$9:$AM$12,0)</f>
        <v>4</v>
      </c>
      <c r="AP10" s="203" t="str">
        <f>VLOOKUP(AO10,$AB$9:$AC$12,2)</f>
        <v>País de Gales</v>
      </c>
      <c r="AQ10" s="199">
        <f>IF(AS9=AS10,"-",2)</f>
        <v>2</v>
      </c>
      <c r="AR10" s="207">
        <f t="shared" si="8"/>
        <v>3000460</v>
      </c>
      <c r="AS10" s="199">
        <f>LARGE($AR$9:$AR$12,AL10)</f>
        <v>1000010</v>
      </c>
      <c r="AT10" s="581"/>
      <c r="AU10" s="197">
        <v>0.06</v>
      </c>
      <c r="AV10" s="222">
        <v>6</v>
      </c>
      <c r="AW10" s="197" t="str">
        <f t="shared" si="16"/>
        <v>Brasil</v>
      </c>
      <c r="AX10" s="199">
        <f t="shared" si="17"/>
        <v>0</v>
      </c>
      <c r="AY10" s="197">
        <f t="shared" si="18"/>
        <v>0.06</v>
      </c>
      <c r="AZ10" s="197">
        <f t="shared" si="19"/>
        <v>20000.02</v>
      </c>
      <c r="BA10" s="199">
        <f t="shared" si="20"/>
        <v>2</v>
      </c>
      <c r="BB10" s="197" t="str">
        <f t="shared" si="21"/>
        <v>Arábia Saudita</v>
      </c>
      <c r="BC10" s="199">
        <f t="shared" si="22"/>
        <v>2</v>
      </c>
      <c r="BE10" s="197">
        <v>0.06</v>
      </c>
      <c r="BF10" s="222">
        <v>6</v>
      </c>
      <c r="BG10" s="197" t="str">
        <f t="shared" si="23"/>
        <v>Brasil</v>
      </c>
      <c r="BH10" s="199">
        <f t="shared" si="24"/>
        <v>0</v>
      </c>
      <c r="BI10" s="197">
        <f t="shared" si="25"/>
        <v>0.06</v>
      </c>
      <c r="BJ10" s="197">
        <f t="shared" si="26"/>
        <v>0.1</v>
      </c>
      <c r="BK10" s="199">
        <f t="shared" si="27"/>
        <v>10</v>
      </c>
      <c r="BL10" s="197" t="str">
        <f t="shared" si="28"/>
        <v>Coreia do Sul</v>
      </c>
      <c r="BM10" s="199">
        <f t="shared" si="29"/>
        <v>0</v>
      </c>
      <c r="BN10" s="197">
        <v>6</v>
      </c>
      <c r="BO10" s="197" t="str">
        <f t="shared" si="30"/>
        <v>Brasil</v>
      </c>
      <c r="BP10" s="199">
        <f t="shared" si="31"/>
        <v>0</v>
      </c>
      <c r="BQ10" s="199">
        <f t="shared" si="32"/>
        <v>0</v>
      </c>
      <c r="BR10" s="199">
        <f t="shared" si="33"/>
        <v>0</v>
      </c>
      <c r="BS10" s="199">
        <f t="shared" si="34"/>
        <v>0</v>
      </c>
      <c r="BT10" s="199">
        <f t="shared" si="35"/>
        <v>0</v>
      </c>
      <c r="BU10" s="199">
        <f t="shared" si="36"/>
        <v>0</v>
      </c>
      <c r="BV10" s="199">
        <f t="shared" si="37"/>
        <v>0</v>
      </c>
      <c r="BW10" s="199">
        <f t="shared" si="38"/>
        <v>0</v>
      </c>
      <c r="BX10" s="197">
        <v>9.4E-2</v>
      </c>
      <c r="BY10" s="204">
        <f t="shared" si="39"/>
        <v>9.4E-2</v>
      </c>
      <c r="BZ10" s="204">
        <f>LARGE(BY$5:$BY$36,BN10)</f>
        <v>100.084</v>
      </c>
      <c r="CA10" s="203">
        <f t="shared" si="40"/>
        <v>16</v>
      </c>
      <c r="CB10" s="203" t="str">
        <f t="shared" si="9"/>
        <v>Estados Unidos</v>
      </c>
      <c r="CC10" s="199">
        <f t="shared" si="42"/>
        <v>6</v>
      </c>
      <c r="CD10" s="207">
        <f t="shared" si="41"/>
        <v>0</v>
      </c>
      <c r="CE10" s="203">
        <f>LARGE($CD$5:CD$36,BN10)</f>
        <v>100</v>
      </c>
    </row>
    <row r="11" spans="1:83" ht="15" x14ac:dyDescent="0.2">
      <c r="B11" s="214">
        <f>AQ9</f>
        <v>1</v>
      </c>
      <c r="C11" s="215" t="str">
        <f>AP9</f>
        <v>Inglaterra</v>
      </c>
      <c r="D11" s="216">
        <f>3*F11+H11</f>
        <v>3</v>
      </c>
      <c r="E11" s="216">
        <f>F11+G11+H11</f>
        <v>1</v>
      </c>
      <c r="F11" s="216">
        <f>VLOOKUP($AP9,$AC$9:$AK$12,4)</f>
        <v>1</v>
      </c>
      <c r="G11" s="216">
        <f>VLOOKUP($AP9,$AC$9:$AK$12,5)</f>
        <v>0</v>
      </c>
      <c r="H11" s="216">
        <f>VLOOKUP($AP9,$AC$9:$AK$12,6)</f>
        <v>0</v>
      </c>
      <c r="I11" s="216">
        <f>VLOOKUP($AP9,$AC$9:$AK$12,7)</f>
        <v>6</v>
      </c>
      <c r="J11" s="216">
        <f>VLOOKUP($AP9,$AC$9:$AK$12,8)</f>
        <v>2</v>
      </c>
      <c r="K11" s="217">
        <f>I11-J11</f>
        <v>4</v>
      </c>
      <c r="L11" s="197">
        <v>11</v>
      </c>
      <c r="M11" s="200" t="s">
        <v>160</v>
      </c>
      <c r="N11" s="197">
        <v>10</v>
      </c>
      <c r="O11" s="202" t="str">
        <f>Copa2022!E20</f>
        <v>Inglaterra</v>
      </c>
      <c r="P11" s="202" t="str">
        <f>IF(Copa2022!F20="","",Copa2022!F20)</f>
        <v/>
      </c>
      <c r="Q11" s="202" t="str">
        <f>Copa2022!G20</f>
        <v>x</v>
      </c>
      <c r="R11" s="202" t="str">
        <f>IF(Copa2022!H20="","",Copa2022!H20)</f>
        <v/>
      </c>
      <c r="S11" s="202" t="str">
        <f>Copa2022!I20</f>
        <v>Estados Unidos</v>
      </c>
      <c r="V11" s="197" t="b">
        <f t="shared" si="0"/>
        <v>0</v>
      </c>
      <c r="W11" s="199" t="str">
        <f t="shared" si="1"/>
        <v/>
      </c>
      <c r="X11" s="199" t="str">
        <f t="shared" si="2"/>
        <v/>
      </c>
      <c r="Y11" s="199" t="b">
        <f t="shared" si="3"/>
        <v>0</v>
      </c>
      <c r="Z11" s="199" t="b">
        <f t="shared" si="4"/>
        <v>0</v>
      </c>
      <c r="AA11" s="199"/>
      <c r="AB11" s="223">
        <v>3</v>
      </c>
      <c r="AC11" s="200" t="s">
        <v>123</v>
      </c>
      <c r="AD11" s="199">
        <f t="shared" si="10"/>
        <v>0</v>
      </c>
      <c r="AE11" s="199">
        <f t="shared" si="11"/>
        <v>1</v>
      </c>
      <c r="AF11" s="199">
        <f t="shared" si="12"/>
        <v>0</v>
      </c>
      <c r="AG11" s="199">
        <f t="shared" si="13"/>
        <v>1</v>
      </c>
      <c r="AH11" s="199">
        <f t="shared" si="14"/>
        <v>0</v>
      </c>
      <c r="AI11" s="199">
        <f t="shared" si="5"/>
        <v>2</v>
      </c>
      <c r="AJ11" s="199">
        <f t="shared" si="6"/>
        <v>6</v>
      </c>
      <c r="AK11" s="199">
        <f t="shared" si="7"/>
        <v>-4</v>
      </c>
      <c r="AL11" s="224">
        <v>3</v>
      </c>
      <c r="AM11" s="203">
        <f t="shared" si="15"/>
        <v>-377</v>
      </c>
      <c r="AN11" s="203">
        <f>LARGE($AM$9:$AM$12,AL11)</f>
        <v>1000011</v>
      </c>
      <c r="AO11" s="203">
        <f>MATCH(AN11,$AM$9:$AM$12,0)</f>
        <v>1</v>
      </c>
      <c r="AP11" s="203" t="str">
        <f>VLOOKUP(AO11,$AB$9:$AC$12,2)</f>
        <v>Estados Unidos</v>
      </c>
      <c r="AQ11" s="199" t="str">
        <f>IF(AS10=AS11,"-",3)</f>
        <v>-</v>
      </c>
      <c r="AR11" s="207">
        <f t="shared" si="8"/>
        <v>-380</v>
      </c>
      <c r="AS11" s="199">
        <f>LARGE($AR$9:$AR$12,AL11)</f>
        <v>1000010</v>
      </c>
      <c r="AT11" s="581"/>
      <c r="AU11" s="197">
        <v>7.0000000000000007E-2</v>
      </c>
      <c r="AV11" s="222">
        <v>7</v>
      </c>
      <c r="AW11" s="197" t="str">
        <f t="shared" si="16"/>
        <v>Camarões</v>
      </c>
      <c r="AX11" s="199">
        <f t="shared" si="17"/>
        <v>0</v>
      </c>
      <c r="AY11" s="197">
        <f t="shared" si="18"/>
        <v>7.0000000000000007E-2</v>
      </c>
      <c r="AZ11" s="197">
        <f t="shared" si="19"/>
        <v>10000.25</v>
      </c>
      <c r="BA11" s="199">
        <f t="shared" si="20"/>
        <v>25</v>
      </c>
      <c r="BB11" s="197" t="str">
        <f t="shared" si="21"/>
        <v>País de Gales</v>
      </c>
      <c r="BC11" s="199">
        <f t="shared" si="22"/>
        <v>1</v>
      </c>
      <c r="BE11" s="197">
        <v>7.0000000000000007E-2</v>
      </c>
      <c r="BF11" s="222">
        <v>7</v>
      </c>
      <c r="BG11" s="197" t="str">
        <f t="shared" si="23"/>
        <v>Camarões</v>
      </c>
      <c r="BH11" s="199">
        <f t="shared" si="24"/>
        <v>0</v>
      </c>
      <c r="BI11" s="197">
        <f t="shared" si="25"/>
        <v>7.0000000000000007E-2</v>
      </c>
      <c r="BJ11" s="197">
        <f t="shared" si="26"/>
        <v>0.11</v>
      </c>
      <c r="BK11" s="199">
        <f t="shared" si="27"/>
        <v>11</v>
      </c>
      <c r="BL11" s="197" t="str">
        <f t="shared" si="28"/>
        <v>Costa Rica</v>
      </c>
      <c r="BM11" s="199">
        <f t="shared" si="29"/>
        <v>0</v>
      </c>
      <c r="BN11" s="197">
        <v>7</v>
      </c>
      <c r="BO11" s="197" t="str">
        <f t="shared" si="30"/>
        <v>Camarões</v>
      </c>
      <c r="BP11" s="199">
        <f t="shared" si="31"/>
        <v>0</v>
      </c>
      <c r="BQ11" s="199">
        <f t="shared" si="32"/>
        <v>0</v>
      </c>
      <c r="BR11" s="199">
        <f t="shared" si="33"/>
        <v>0</v>
      </c>
      <c r="BS11" s="199">
        <f t="shared" si="34"/>
        <v>0</v>
      </c>
      <c r="BT11" s="199">
        <f t="shared" si="35"/>
        <v>0</v>
      </c>
      <c r="BU11" s="199">
        <f t="shared" si="36"/>
        <v>0</v>
      </c>
      <c r="BV11" s="199">
        <f t="shared" si="37"/>
        <v>0</v>
      </c>
      <c r="BW11" s="199">
        <f t="shared" si="38"/>
        <v>0</v>
      </c>
      <c r="BX11" s="197">
        <v>9.2999999999999999E-2</v>
      </c>
      <c r="BY11" s="204">
        <f t="shared" si="39"/>
        <v>9.2999999999999999E-2</v>
      </c>
      <c r="BZ11" s="204">
        <f>LARGE(BY$5:$BY$36,BN11)</f>
        <v>100.075</v>
      </c>
      <c r="CA11" s="203">
        <f t="shared" si="40"/>
        <v>25</v>
      </c>
      <c r="CB11" s="203" t="str">
        <f t="shared" si="9"/>
        <v>País de Gales</v>
      </c>
      <c r="CC11" s="199" t="str">
        <f t="shared" si="42"/>
        <v>-</v>
      </c>
      <c r="CD11" s="207">
        <f t="shared" si="41"/>
        <v>0</v>
      </c>
      <c r="CE11" s="203">
        <f>LARGE($CD$5:CD$36,BN11)</f>
        <v>100</v>
      </c>
    </row>
    <row r="12" spans="1:83" ht="15" x14ac:dyDescent="0.2">
      <c r="B12" s="214">
        <f>AQ10</f>
        <v>2</v>
      </c>
      <c r="C12" s="215" t="str">
        <f>AP10</f>
        <v>País de Gales</v>
      </c>
      <c r="D12" s="216">
        <f>3*F12+H12</f>
        <v>1</v>
      </c>
      <c r="E12" s="216">
        <f>F12+G12+H12</f>
        <v>1</v>
      </c>
      <c r="F12" s="216">
        <f>VLOOKUP($AP10,$AC$9:$AK$12,4)</f>
        <v>0</v>
      </c>
      <c r="G12" s="216">
        <f>VLOOKUP($AP10,$AC$9:$AK$12,5)</f>
        <v>0</v>
      </c>
      <c r="H12" s="216">
        <f>VLOOKUP($AP10,$AC$9:$AK$12,6)</f>
        <v>1</v>
      </c>
      <c r="I12" s="216">
        <f>VLOOKUP($AP10,$AC$9:$AK$12,7)</f>
        <v>1</v>
      </c>
      <c r="J12" s="216">
        <f>VLOOKUP($AP10,$AC$9:$AK$12,8)</f>
        <v>1</v>
      </c>
      <c r="K12" s="217">
        <f>I12-J12</f>
        <v>0</v>
      </c>
      <c r="L12" s="197">
        <v>12</v>
      </c>
      <c r="M12" s="200" t="s">
        <v>70</v>
      </c>
      <c r="N12" s="197">
        <v>11</v>
      </c>
      <c r="O12" s="202" t="str">
        <f>Copa2022!E21</f>
        <v>País de Gales</v>
      </c>
      <c r="P12" s="202" t="str">
        <f>IF(Copa2022!F21="","",Copa2022!F21)</f>
        <v/>
      </c>
      <c r="Q12" s="202" t="str">
        <f>Copa2022!G21</f>
        <v>x</v>
      </c>
      <c r="R12" s="202" t="str">
        <f>IF(Copa2022!H21="","",Copa2022!H21)</f>
        <v/>
      </c>
      <c r="S12" s="202" t="str">
        <f>Copa2022!I21</f>
        <v>Inglaterra</v>
      </c>
      <c r="V12" s="197" t="b">
        <f t="shared" si="0"/>
        <v>0</v>
      </c>
      <c r="W12" s="199" t="str">
        <f t="shared" si="1"/>
        <v/>
      </c>
      <c r="X12" s="199" t="str">
        <f t="shared" si="2"/>
        <v/>
      </c>
      <c r="Y12" s="199" t="b">
        <f t="shared" si="3"/>
        <v>0</v>
      </c>
      <c r="Z12" s="199" t="b">
        <f t="shared" si="4"/>
        <v>0</v>
      </c>
      <c r="AA12" s="199"/>
      <c r="AB12" s="231">
        <v>4</v>
      </c>
      <c r="AC12" s="232" t="s">
        <v>158</v>
      </c>
      <c r="AD12" s="226">
        <f t="shared" si="10"/>
        <v>1</v>
      </c>
      <c r="AE12" s="226">
        <f t="shared" si="11"/>
        <v>1</v>
      </c>
      <c r="AF12" s="226">
        <f t="shared" si="12"/>
        <v>0</v>
      </c>
      <c r="AG12" s="226">
        <f t="shared" si="13"/>
        <v>0</v>
      </c>
      <c r="AH12" s="226">
        <f t="shared" si="14"/>
        <v>1</v>
      </c>
      <c r="AI12" s="226">
        <f t="shared" si="5"/>
        <v>1</v>
      </c>
      <c r="AJ12" s="226">
        <f t="shared" si="6"/>
        <v>1</v>
      </c>
      <c r="AK12" s="226">
        <f t="shared" si="7"/>
        <v>0</v>
      </c>
      <c r="AL12" s="233">
        <v>4</v>
      </c>
      <c r="AM12" s="203">
        <f t="shared" si="15"/>
        <v>1000014</v>
      </c>
      <c r="AN12" s="234">
        <f>LARGE($AM$9:$AM$12,AL12)</f>
        <v>-377</v>
      </c>
      <c r="AO12" s="234">
        <f>MATCH(AN12,$AM$9:$AM$12,0)</f>
        <v>3</v>
      </c>
      <c r="AP12" s="234" t="str">
        <f>VLOOKUP(AO12,$AB$9:$AC$12,2)</f>
        <v>Irã</v>
      </c>
      <c r="AQ12" s="226">
        <f>IF(AS11=AS12,"-",4)</f>
        <v>4</v>
      </c>
      <c r="AR12" s="235">
        <f t="shared" si="8"/>
        <v>1000010</v>
      </c>
      <c r="AS12" s="226">
        <f>LARGE($AR$9:$AR$12,AL12)</f>
        <v>-380</v>
      </c>
      <c r="AT12" s="582"/>
      <c r="AU12" s="197">
        <v>0.08</v>
      </c>
      <c r="AV12" s="222">
        <v>8</v>
      </c>
      <c r="AW12" s="197" t="str">
        <f t="shared" si="16"/>
        <v>Canadá</v>
      </c>
      <c r="AX12" s="199">
        <f t="shared" si="17"/>
        <v>0</v>
      </c>
      <c r="AY12" s="197">
        <f t="shared" si="18"/>
        <v>0.08</v>
      </c>
      <c r="AZ12" s="197">
        <f t="shared" si="19"/>
        <v>10000.16</v>
      </c>
      <c r="BA12" s="199">
        <f t="shared" si="20"/>
        <v>16</v>
      </c>
      <c r="BB12" s="197" t="str">
        <f t="shared" si="21"/>
        <v>Estados Unidos</v>
      </c>
      <c r="BC12" s="199">
        <f t="shared" si="22"/>
        <v>1</v>
      </c>
      <c r="BE12" s="197">
        <v>0.08</v>
      </c>
      <c r="BF12" s="222">
        <v>8</v>
      </c>
      <c r="BG12" s="197" t="str">
        <f t="shared" si="23"/>
        <v>Canadá</v>
      </c>
      <c r="BH12" s="199">
        <f t="shared" si="24"/>
        <v>0</v>
      </c>
      <c r="BI12" s="197">
        <f t="shared" si="25"/>
        <v>0.08</v>
      </c>
      <c r="BJ12" s="197">
        <f t="shared" si="26"/>
        <v>0.12</v>
      </c>
      <c r="BK12" s="199">
        <f t="shared" si="27"/>
        <v>12</v>
      </c>
      <c r="BL12" s="197" t="str">
        <f t="shared" si="28"/>
        <v>Croácia</v>
      </c>
      <c r="BM12" s="199">
        <f t="shared" si="29"/>
        <v>0</v>
      </c>
      <c r="BN12" s="197">
        <v>8</v>
      </c>
      <c r="BO12" s="197" t="str">
        <f t="shared" si="30"/>
        <v>Canadá</v>
      </c>
      <c r="BP12" s="199">
        <f t="shared" si="31"/>
        <v>0</v>
      </c>
      <c r="BQ12" s="199">
        <f t="shared" si="32"/>
        <v>0</v>
      </c>
      <c r="BR12" s="199">
        <f t="shared" si="33"/>
        <v>0</v>
      </c>
      <c r="BS12" s="199">
        <f t="shared" si="34"/>
        <v>0</v>
      </c>
      <c r="BT12" s="199">
        <f t="shared" si="35"/>
        <v>0</v>
      </c>
      <c r="BU12" s="199">
        <f t="shared" si="36"/>
        <v>0</v>
      </c>
      <c r="BV12" s="199">
        <f t="shared" si="37"/>
        <v>0</v>
      </c>
      <c r="BW12" s="199">
        <f t="shared" si="38"/>
        <v>0</v>
      </c>
      <c r="BX12" s="197">
        <v>9.1999999999999998E-2</v>
      </c>
      <c r="BY12" s="204">
        <f t="shared" si="39"/>
        <v>9.1999999999999998E-2</v>
      </c>
      <c r="BZ12" s="204">
        <f>LARGE(BY$5:$BY$36,BN12)</f>
        <v>9.9000000000000005E-2</v>
      </c>
      <c r="CA12" s="203">
        <f t="shared" si="40"/>
        <v>1</v>
      </c>
      <c r="CB12" s="203" t="str">
        <f t="shared" si="9"/>
        <v>Alemanha</v>
      </c>
      <c r="CC12" s="199">
        <f t="shared" si="42"/>
        <v>8</v>
      </c>
      <c r="CD12" s="207">
        <f t="shared" si="41"/>
        <v>0</v>
      </c>
      <c r="CE12" s="203">
        <f>LARGE($CD$5:CD$36,BN12)</f>
        <v>0</v>
      </c>
    </row>
    <row r="13" spans="1:83" ht="15" x14ac:dyDescent="0.2">
      <c r="B13" s="214" t="str">
        <f>AQ11</f>
        <v>-</v>
      </c>
      <c r="C13" s="215" t="str">
        <f>AP11</f>
        <v>Estados Unidos</v>
      </c>
      <c r="D13" s="216">
        <f>3*F13+H13</f>
        <v>1</v>
      </c>
      <c r="E13" s="216">
        <f>F13+G13+H13</f>
        <v>1</v>
      </c>
      <c r="F13" s="216">
        <f>VLOOKUP($AP11,$AC$9:$AK$12,4)</f>
        <v>0</v>
      </c>
      <c r="G13" s="216">
        <f>VLOOKUP($AP11,$AC$9:$AK$12,5)</f>
        <v>0</v>
      </c>
      <c r="H13" s="216">
        <f>VLOOKUP($AP11,$AC$9:$AK$12,6)</f>
        <v>1</v>
      </c>
      <c r="I13" s="216">
        <f>VLOOKUP($AP11,$AC$9:$AK$12,7)</f>
        <v>1</v>
      </c>
      <c r="J13" s="216">
        <f>VLOOKUP($AP11,$AC$9:$AK$12,8)</f>
        <v>1</v>
      </c>
      <c r="K13" s="217">
        <f>I13-J13</f>
        <v>0</v>
      </c>
      <c r="L13" s="197">
        <v>13</v>
      </c>
      <c r="M13" s="200" t="s">
        <v>127</v>
      </c>
      <c r="N13" s="197">
        <v>12</v>
      </c>
      <c r="O13" s="202" t="str">
        <f>Copa2022!E22</f>
        <v>Irã</v>
      </c>
      <c r="P13" s="202" t="str">
        <f>IF(Copa2022!F22="","",Copa2022!F22)</f>
        <v/>
      </c>
      <c r="Q13" s="202" t="str">
        <f>Copa2022!G22</f>
        <v>x</v>
      </c>
      <c r="R13" s="202" t="str">
        <f>IF(Copa2022!H22="","",Copa2022!H22)</f>
        <v/>
      </c>
      <c r="S13" s="202" t="str">
        <f>Copa2022!I22</f>
        <v>Estados Unidos</v>
      </c>
      <c r="V13" s="225" t="b">
        <f t="shared" si="0"/>
        <v>0</v>
      </c>
      <c r="W13" s="199" t="str">
        <f t="shared" si="1"/>
        <v/>
      </c>
      <c r="X13" s="199" t="str">
        <f t="shared" si="2"/>
        <v/>
      </c>
      <c r="Y13" s="199" t="b">
        <f t="shared" si="3"/>
        <v>0</v>
      </c>
      <c r="Z13" s="199" t="b">
        <f t="shared" si="4"/>
        <v>0</v>
      </c>
      <c r="AA13" s="226"/>
      <c r="AB13" s="218">
        <v>1</v>
      </c>
      <c r="AC13" s="219" t="s">
        <v>125</v>
      </c>
      <c r="AD13" s="220">
        <f t="shared" si="10"/>
        <v>3</v>
      </c>
      <c r="AE13" s="220">
        <f t="shared" si="11"/>
        <v>1</v>
      </c>
      <c r="AF13" s="220">
        <f t="shared" si="12"/>
        <v>1</v>
      </c>
      <c r="AG13" s="220">
        <f t="shared" si="13"/>
        <v>0</v>
      </c>
      <c r="AH13" s="220">
        <f t="shared" si="14"/>
        <v>0</v>
      </c>
      <c r="AI13" s="220">
        <f t="shared" si="5"/>
        <v>2</v>
      </c>
      <c r="AJ13" s="220">
        <f t="shared" si="6"/>
        <v>1</v>
      </c>
      <c r="AK13" s="220">
        <f t="shared" si="7"/>
        <v>1</v>
      </c>
      <c r="AL13" s="221">
        <v>1</v>
      </c>
      <c r="AM13" s="203">
        <f t="shared" si="15"/>
        <v>3000121</v>
      </c>
      <c r="AN13" s="238">
        <f>LARGE($AM$13:$AM$16,AL13)</f>
        <v>3000121</v>
      </c>
      <c r="AO13" s="238">
        <f>MATCH(AN13,$AM$13:$AM$16,0)</f>
        <v>1</v>
      </c>
      <c r="AP13" s="238" t="str">
        <f>VLOOKUP(AO13,$AB$13:$AC$16,2)</f>
        <v>Arábia Saudita</v>
      </c>
      <c r="AQ13" s="239">
        <v>1</v>
      </c>
      <c r="AR13" s="240">
        <f t="shared" si="8"/>
        <v>3000120</v>
      </c>
      <c r="AS13" s="239">
        <f>LARGE($AR$13:$AR$16,AL13)</f>
        <v>3000120</v>
      </c>
      <c r="AT13" s="580" t="s">
        <v>49</v>
      </c>
      <c r="AU13" s="197">
        <v>0.09</v>
      </c>
      <c r="AV13" s="222">
        <v>9</v>
      </c>
      <c r="AW13" s="197" t="str">
        <f t="shared" si="16"/>
        <v>Catar</v>
      </c>
      <c r="AX13" s="199">
        <f t="shared" si="17"/>
        <v>0</v>
      </c>
      <c r="AY13" s="197">
        <f t="shared" si="18"/>
        <v>0.09</v>
      </c>
      <c r="AZ13" s="197">
        <f t="shared" si="19"/>
        <v>10000.040000000001</v>
      </c>
      <c r="BA13" s="199">
        <f t="shared" si="20"/>
        <v>4</v>
      </c>
      <c r="BB13" s="197" t="str">
        <f t="shared" si="21"/>
        <v>Austrália</v>
      </c>
      <c r="BC13" s="199">
        <f t="shared" si="22"/>
        <v>1</v>
      </c>
      <c r="BE13" s="197">
        <v>0.09</v>
      </c>
      <c r="BF13" s="222">
        <v>9</v>
      </c>
      <c r="BG13" s="197" t="str">
        <f t="shared" si="23"/>
        <v>Catar</v>
      </c>
      <c r="BH13" s="199">
        <f t="shared" si="24"/>
        <v>2</v>
      </c>
      <c r="BI13" s="197">
        <f t="shared" si="25"/>
        <v>20000.09</v>
      </c>
      <c r="BJ13" s="197">
        <f t="shared" si="26"/>
        <v>0.13</v>
      </c>
      <c r="BK13" s="199">
        <f t="shared" si="27"/>
        <v>13</v>
      </c>
      <c r="BL13" s="197" t="str">
        <f t="shared" si="28"/>
        <v>Dinamarca</v>
      </c>
      <c r="BM13" s="199">
        <f t="shared" si="29"/>
        <v>0</v>
      </c>
      <c r="BN13" s="197">
        <v>9</v>
      </c>
      <c r="BO13" s="197" t="str">
        <f t="shared" si="30"/>
        <v>Catar</v>
      </c>
      <c r="BP13" s="199">
        <f t="shared" si="31"/>
        <v>0</v>
      </c>
      <c r="BQ13" s="199">
        <f t="shared" si="32"/>
        <v>0</v>
      </c>
      <c r="BR13" s="199">
        <f t="shared" si="33"/>
        <v>0</v>
      </c>
      <c r="BS13" s="199">
        <f t="shared" si="34"/>
        <v>0</v>
      </c>
      <c r="BT13" s="199">
        <f t="shared" si="35"/>
        <v>0</v>
      </c>
      <c r="BU13" s="199">
        <f t="shared" si="36"/>
        <v>0</v>
      </c>
      <c r="BV13" s="199">
        <f t="shared" si="37"/>
        <v>2</v>
      </c>
      <c r="BW13" s="199">
        <f t="shared" si="38"/>
        <v>-2</v>
      </c>
      <c r="BX13" s="197">
        <v>9.0999999999999998E-2</v>
      </c>
      <c r="BY13" s="204">
        <f t="shared" si="39"/>
        <v>-19999.909</v>
      </c>
      <c r="BZ13" s="204">
        <f>LARGE(BY$5:$BY$36,BN13)</f>
        <v>9.5000000000000001E-2</v>
      </c>
      <c r="CA13" s="203">
        <f t="shared" si="40"/>
        <v>5</v>
      </c>
      <c r="CB13" s="203" t="str">
        <f t="shared" si="9"/>
        <v>Bélgica</v>
      </c>
      <c r="CC13" s="199" t="str">
        <f t="shared" si="42"/>
        <v>-</v>
      </c>
      <c r="CD13" s="207">
        <f t="shared" si="41"/>
        <v>-20000</v>
      </c>
      <c r="CE13" s="203">
        <f>LARGE($CD$5:CD$36,BN13)</f>
        <v>0</v>
      </c>
    </row>
    <row r="14" spans="1:83" ht="15" customHeight="1" thickBot="1" x14ac:dyDescent="0.25">
      <c r="B14" s="227">
        <f>AQ12</f>
        <v>4</v>
      </c>
      <c r="C14" s="228" t="str">
        <f>AP12</f>
        <v>Irã</v>
      </c>
      <c r="D14" s="229">
        <f>3*F14+H14</f>
        <v>0</v>
      </c>
      <c r="E14" s="229">
        <f>F14+G14+H14</f>
        <v>1</v>
      </c>
      <c r="F14" s="229">
        <f>VLOOKUP($AP12,$AC$9:$AK$12,4)</f>
        <v>0</v>
      </c>
      <c r="G14" s="229">
        <f>VLOOKUP($AP12,$AC$9:$AK$12,5)</f>
        <v>1</v>
      </c>
      <c r="H14" s="229">
        <f>VLOOKUP($AP12,$AC$9:$AK$12,6)</f>
        <v>0</v>
      </c>
      <c r="I14" s="229">
        <f>VLOOKUP($AP12,$AC$9:$AK$12,7)</f>
        <v>2</v>
      </c>
      <c r="J14" s="229">
        <f>VLOOKUP($AP12,$AC$9:$AK$12,8)</f>
        <v>6</v>
      </c>
      <c r="K14" s="230">
        <f>I14-J14</f>
        <v>-4</v>
      </c>
      <c r="L14" s="197">
        <v>14</v>
      </c>
      <c r="M14" s="200" t="s">
        <v>142</v>
      </c>
      <c r="N14" s="197">
        <v>13</v>
      </c>
      <c r="O14" s="202" t="str">
        <f>Copa2022!E23</f>
        <v>Argentina</v>
      </c>
      <c r="P14" s="202">
        <f>IF(Copa2022!F23="","",Copa2022!F23)</f>
        <v>1</v>
      </c>
      <c r="Q14" s="202" t="str">
        <f>Copa2022!G23</f>
        <v>x</v>
      </c>
      <c r="R14" s="202">
        <f>IF(Copa2022!H23="","",Copa2022!H23)</f>
        <v>2</v>
      </c>
      <c r="S14" s="202" t="str">
        <f>Copa2022!I23</f>
        <v>Arábia Saudita</v>
      </c>
      <c r="V14" s="197" t="b">
        <f t="shared" si="0"/>
        <v>1</v>
      </c>
      <c r="W14" s="199" t="str">
        <f t="shared" si="1"/>
        <v>Arábia Saudita</v>
      </c>
      <c r="X14" s="199" t="str">
        <f t="shared" si="2"/>
        <v>Argentina</v>
      </c>
      <c r="Y14" s="199" t="str">
        <f t="shared" si="3"/>
        <v/>
      </c>
      <c r="Z14" s="199" t="str">
        <f t="shared" si="4"/>
        <v/>
      </c>
      <c r="AA14" s="199"/>
      <c r="AB14" s="223">
        <v>2</v>
      </c>
      <c r="AC14" s="200" t="s">
        <v>4</v>
      </c>
      <c r="AD14" s="199">
        <f t="shared" si="10"/>
        <v>0</v>
      </c>
      <c r="AE14" s="199">
        <f t="shared" si="11"/>
        <v>1</v>
      </c>
      <c r="AF14" s="199">
        <f t="shared" si="12"/>
        <v>0</v>
      </c>
      <c r="AG14" s="199">
        <f t="shared" si="13"/>
        <v>1</v>
      </c>
      <c r="AH14" s="199">
        <f t="shared" si="14"/>
        <v>0</v>
      </c>
      <c r="AI14" s="199">
        <f t="shared" si="5"/>
        <v>1</v>
      </c>
      <c r="AJ14" s="199">
        <f t="shared" si="6"/>
        <v>2</v>
      </c>
      <c r="AK14" s="199">
        <f t="shared" si="7"/>
        <v>-1</v>
      </c>
      <c r="AL14" s="224">
        <v>2</v>
      </c>
      <c r="AM14" s="203">
        <f t="shared" si="15"/>
        <v>-88</v>
      </c>
      <c r="AN14" s="203">
        <f>LARGE($AM$13:$AM$16,AL14)</f>
        <v>1000004</v>
      </c>
      <c r="AO14" s="203">
        <f>MATCH(AN14,$AM$13:$AM$16,0)</f>
        <v>4</v>
      </c>
      <c r="AP14" s="203" t="str">
        <f>VLOOKUP(AO14,$AB$13:$AC$16,2)</f>
        <v>Polônia</v>
      </c>
      <c r="AQ14" s="199">
        <f>IF(AS13=AS14,"-",2)</f>
        <v>2</v>
      </c>
      <c r="AR14" s="207">
        <f t="shared" si="8"/>
        <v>-90</v>
      </c>
      <c r="AS14" s="199">
        <f>LARGE($AR$13:$AR$16,AL14)</f>
        <v>1000000</v>
      </c>
      <c r="AT14" s="581"/>
      <c r="AU14" s="197">
        <v>0.1</v>
      </c>
      <c r="AV14" s="222">
        <v>10</v>
      </c>
      <c r="AW14" s="197" t="str">
        <f t="shared" si="16"/>
        <v>Coreia do Sul</v>
      </c>
      <c r="AX14" s="199">
        <f t="shared" si="17"/>
        <v>0</v>
      </c>
      <c r="AY14" s="197">
        <f t="shared" si="18"/>
        <v>0.1</v>
      </c>
      <c r="AZ14" s="197">
        <f t="shared" si="19"/>
        <v>10000.030000000001</v>
      </c>
      <c r="BA14" s="199">
        <f t="shared" si="20"/>
        <v>3</v>
      </c>
      <c r="BB14" s="197" t="str">
        <f t="shared" si="21"/>
        <v>Argentina</v>
      </c>
      <c r="BC14" s="199">
        <f t="shared" si="22"/>
        <v>1</v>
      </c>
      <c r="BE14" s="197">
        <v>0.1</v>
      </c>
      <c r="BF14" s="222">
        <v>10</v>
      </c>
      <c r="BG14" s="197" t="str">
        <f t="shared" si="23"/>
        <v>Coreia do Sul</v>
      </c>
      <c r="BH14" s="199">
        <f t="shared" si="24"/>
        <v>0</v>
      </c>
      <c r="BI14" s="197">
        <f t="shared" si="25"/>
        <v>0.1</v>
      </c>
      <c r="BJ14" s="197">
        <f t="shared" si="26"/>
        <v>0.14000000000000001</v>
      </c>
      <c r="BK14" s="199">
        <f t="shared" si="27"/>
        <v>14</v>
      </c>
      <c r="BL14" s="197" t="str">
        <f t="shared" si="28"/>
        <v>Equador</v>
      </c>
      <c r="BM14" s="199">
        <f t="shared" si="29"/>
        <v>0</v>
      </c>
      <c r="BN14" s="197">
        <v>10</v>
      </c>
      <c r="BO14" s="197" t="str">
        <f t="shared" si="30"/>
        <v>Coreia do Sul</v>
      </c>
      <c r="BP14" s="199">
        <f t="shared" si="31"/>
        <v>0</v>
      </c>
      <c r="BQ14" s="199">
        <f t="shared" si="32"/>
        <v>0</v>
      </c>
      <c r="BR14" s="199">
        <f t="shared" si="33"/>
        <v>0</v>
      </c>
      <c r="BS14" s="199">
        <f t="shared" si="34"/>
        <v>0</v>
      </c>
      <c r="BT14" s="199">
        <f t="shared" si="35"/>
        <v>0</v>
      </c>
      <c r="BU14" s="199">
        <f t="shared" si="36"/>
        <v>0</v>
      </c>
      <c r="BV14" s="199">
        <f t="shared" si="37"/>
        <v>0</v>
      </c>
      <c r="BW14" s="199">
        <f t="shared" si="38"/>
        <v>0</v>
      </c>
      <c r="BX14" s="197">
        <v>0.09</v>
      </c>
      <c r="BY14" s="204">
        <f t="shared" si="39"/>
        <v>0.09</v>
      </c>
      <c r="BZ14" s="204">
        <f>LARGE(BY$5:$BY$36,BN14)</f>
        <v>9.4E-2</v>
      </c>
      <c r="CA14" s="203">
        <f t="shared" si="40"/>
        <v>6</v>
      </c>
      <c r="CB14" s="203" t="str">
        <f t="shared" si="9"/>
        <v>Brasil</v>
      </c>
      <c r="CC14" s="199" t="str">
        <f t="shared" si="42"/>
        <v>-</v>
      </c>
      <c r="CD14" s="207">
        <f t="shared" si="41"/>
        <v>0</v>
      </c>
      <c r="CE14" s="203">
        <f>LARGE($CD$5:CD$36,BN14)</f>
        <v>0</v>
      </c>
    </row>
    <row r="15" spans="1:83" ht="16.5" customHeight="1" thickBot="1" x14ac:dyDescent="0.25">
      <c r="B15" s="236"/>
      <c r="C15" s="237"/>
      <c r="D15" s="236"/>
      <c r="E15" s="236">
        <f>SUM(E11:E14)</f>
        <v>4</v>
      </c>
      <c r="F15" s="236"/>
      <c r="G15" s="236"/>
      <c r="H15" s="236"/>
      <c r="I15" s="236"/>
      <c r="J15" s="236"/>
      <c r="K15" s="236"/>
      <c r="L15" s="197">
        <v>15</v>
      </c>
      <c r="M15" s="200" t="s">
        <v>11</v>
      </c>
      <c r="N15" s="197">
        <v>14</v>
      </c>
      <c r="O15" s="202" t="str">
        <f>Copa2022!E24</f>
        <v>México</v>
      </c>
      <c r="P15" s="202">
        <f>IF(Copa2022!F24="","",Copa2022!F24)</f>
        <v>0</v>
      </c>
      <c r="Q15" s="202" t="str">
        <f>Copa2022!G24</f>
        <v>x</v>
      </c>
      <c r="R15" s="202">
        <f>IF(Copa2022!H24="","",Copa2022!H24)</f>
        <v>0</v>
      </c>
      <c r="S15" s="202" t="str">
        <f>Copa2022!I24</f>
        <v>Polônia</v>
      </c>
      <c r="V15" s="197" t="b">
        <f t="shared" si="0"/>
        <v>1</v>
      </c>
      <c r="W15" s="199" t="str">
        <f t="shared" si="1"/>
        <v>empate</v>
      </c>
      <c r="X15" s="199" t="str">
        <f t="shared" si="2"/>
        <v>empate</v>
      </c>
      <c r="Y15" s="199" t="str">
        <f t="shared" si="3"/>
        <v>México</v>
      </c>
      <c r="Z15" s="199" t="str">
        <f t="shared" si="4"/>
        <v>Polônia</v>
      </c>
      <c r="AA15" s="199"/>
      <c r="AB15" s="223">
        <v>3</v>
      </c>
      <c r="AC15" s="200" t="s">
        <v>1</v>
      </c>
      <c r="AD15" s="199">
        <f t="shared" si="10"/>
        <v>1</v>
      </c>
      <c r="AE15" s="199">
        <f t="shared" si="11"/>
        <v>1</v>
      </c>
      <c r="AF15" s="199">
        <f t="shared" si="12"/>
        <v>0</v>
      </c>
      <c r="AG15" s="199">
        <f t="shared" si="13"/>
        <v>0</v>
      </c>
      <c r="AH15" s="199">
        <f t="shared" si="14"/>
        <v>1</v>
      </c>
      <c r="AI15" s="199">
        <f t="shared" si="5"/>
        <v>0</v>
      </c>
      <c r="AJ15" s="199">
        <f t="shared" si="6"/>
        <v>0</v>
      </c>
      <c r="AK15" s="199">
        <f t="shared" si="7"/>
        <v>0</v>
      </c>
      <c r="AL15" s="224">
        <v>3</v>
      </c>
      <c r="AM15" s="203">
        <f t="shared" si="15"/>
        <v>1000003</v>
      </c>
      <c r="AN15" s="203">
        <f>LARGE($AM$13:$AM$16,AL15)</f>
        <v>1000003</v>
      </c>
      <c r="AO15" s="203">
        <f>MATCH(AN15,$AM$13:$AM$16,0)</f>
        <v>3</v>
      </c>
      <c r="AP15" s="203" t="str">
        <f>VLOOKUP(AO15,$AB$13:$AC$16,2)</f>
        <v>México</v>
      </c>
      <c r="AQ15" s="199" t="str">
        <f>IF(AS14=AS15,"-",3)</f>
        <v>-</v>
      </c>
      <c r="AR15" s="207">
        <f t="shared" si="8"/>
        <v>1000000</v>
      </c>
      <c r="AS15" s="199">
        <f>LARGE($AR$13:$AR$16,AL15)</f>
        <v>1000000</v>
      </c>
      <c r="AT15" s="581"/>
      <c r="AU15" s="197">
        <v>0.11</v>
      </c>
      <c r="AV15" s="222">
        <v>11</v>
      </c>
      <c r="AW15" s="197" t="str">
        <f t="shared" si="16"/>
        <v>Costa Rica</v>
      </c>
      <c r="AX15" s="199">
        <f t="shared" si="17"/>
        <v>0</v>
      </c>
      <c r="AY15" s="197">
        <f t="shared" si="18"/>
        <v>0.11</v>
      </c>
      <c r="AZ15" s="197">
        <f t="shared" si="19"/>
        <v>0.32</v>
      </c>
      <c r="BA15" s="199">
        <f t="shared" si="20"/>
        <v>32</v>
      </c>
      <c r="BB15" s="197" t="str">
        <f t="shared" si="21"/>
        <v>Uruguai</v>
      </c>
      <c r="BC15" s="199">
        <f t="shared" si="22"/>
        <v>0</v>
      </c>
      <c r="BE15" s="197">
        <v>0.11</v>
      </c>
      <c r="BF15" s="222">
        <v>11</v>
      </c>
      <c r="BG15" s="197" t="str">
        <f t="shared" si="23"/>
        <v>Costa Rica</v>
      </c>
      <c r="BH15" s="199">
        <f t="shared" si="24"/>
        <v>0</v>
      </c>
      <c r="BI15" s="197">
        <f t="shared" si="25"/>
        <v>0.11</v>
      </c>
      <c r="BJ15" s="197">
        <f t="shared" si="26"/>
        <v>0.15</v>
      </c>
      <c r="BK15" s="199">
        <f t="shared" si="27"/>
        <v>15</v>
      </c>
      <c r="BL15" s="197" t="str">
        <f t="shared" si="28"/>
        <v>Espanha</v>
      </c>
      <c r="BM15" s="199">
        <f t="shared" si="29"/>
        <v>0</v>
      </c>
      <c r="BN15" s="197">
        <v>11</v>
      </c>
      <c r="BO15" s="197" t="str">
        <f t="shared" si="30"/>
        <v>Costa Rica</v>
      </c>
      <c r="BP15" s="199">
        <f t="shared" si="31"/>
        <v>0</v>
      </c>
      <c r="BQ15" s="199">
        <f t="shared" si="32"/>
        <v>0</v>
      </c>
      <c r="BR15" s="199">
        <f t="shared" si="33"/>
        <v>0</v>
      </c>
      <c r="BS15" s="199">
        <f t="shared" si="34"/>
        <v>0</v>
      </c>
      <c r="BT15" s="199">
        <f t="shared" si="35"/>
        <v>0</v>
      </c>
      <c r="BU15" s="199">
        <f t="shared" si="36"/>
        <v>0</v>
      </c>
      <c r="BV15" s="199">
        <f t="shared" si="37"/>
        <v>0</v>
      </c>
      <c r="BW15" s="199">
        <f t="shared" si="38"/>
        <v>0</v>
      </c>
      <c r="BX15" s="197">
        <v>8.8999999999999996E-2</v>
      </c>
      <c r="BY15" s="204">
        <f t="shared" si="39"/>
        <v>8.8999999999999996E-2</v>
      </c>
      <c r="BZ15" s="204">
        <f>LARGE(BY$5:$BY$36,BN15)</f>
        <v>9.2999999999999999E-2</v>
      </c>
      <c r="CA15" s="203">
        <f t="shared" si="40"/>
        <v>7</v>
      </c>
      <c r="CB15" s="203" t="str">
        <f t="shared" si="9"/>
        <v>Camarões</v>
      </c>
      <c r="CC15" s="199" t="str">
        <f t="shared" si="42"/>
        <v>-</v>
      </c>
      <c r="CD15" s="207">
        <f t="shared" si="41"/>
        <v>0</v>
      </c>
      <c r="CE15" s="203">
        <f>LARGE($CD$5:CD$36,BN15)</f>
        <v>0</v>
      </c>
    </row>
    <row r="16" spans="1:83" ht="15" x14ac:dyDescent="0.2">
      <c r="B16" s="584" t="s">
        <v>50</v>
      </c>
      <c r="C16" s="585"/>
      <c r="D16" s="212" t="s">
        <v>35</v>
      </c>
      <c r="E16" s="212" t="s">
        <v>36</v>
      </c>
      <c r="F16" s="212" t="s">
        <v>37</v>
      </c>
      <c r="G16" s="212" t="s">
        <v>38</v>
      </c>
      <c r="H16" s="212" t="s">
        <v>39</v>
      </c>
      <c r="I16" s="212" t="s">
        <v>40</v>
      </c>
      <c r="J16" s="212" t="s">
        <v>41</v>
      </c>
      <c r="K16" s="213" t="s">
        <v>42</v>
      </c>
      <c r="L16" s="197">
        <v>16</v>
      </c>
      <c r="M16" s="200" t="s">
        <v>145</v>
      </c>
      <c r="N16" s="197">
        <v>15</v>
      </c>
      <c r="O16" s="202" t="str">
        <f>Copa2022!E25</f>
        <v>Polônia</v>
      </c>
      <c r="P16" s="202" t="str">
        <f>IF(Copa2022!F25="","",Copa2022!F25)</f>
        <v/>
      </c>
      <c r="Q16" s="202" t="str">
        <f>Copa2022!G25</f>
        <v>x</v>
      </c>
      <c r="R16" s="202" t="str">
        <f>IF(Copa2022!H25="","",Copa2022!H25)</f>
        <v/>
      </c>
      <c r="S16" s="202" t="str">
        <f>Copa2022!I25</f>
        <v>Arábia Saudita</v>
      </c>
      <c r="V16" s="197" t="b">
        <f t="shared" si="0"/>
        <v>0</v>
      </c>
      <c r="W16" s="199" t="str">
        <f t="shared" si="1"/>
        <v/>
      </c>
      <c r="X16" s="199" t="str">
        <f t="shared" si="2"/>
        <v/>
      </c>
      <c r="Y16" s="199" t="b">
        <f t="shared" si="3"/>
        <v>0</v>
      </c>
      <c r="Z16" s="199" t="b">
        <f t="shared" si="4"/>
        <v>0</v>
      </c>
      <c r="AA16" s="199"/>
      <c r="AB16" s="231">
        <v>4</v>
      </c>
      <c r="AC16" s="232" t="s">
        <v>130</v>
      </c>
      <c r="AD16" s="226">
        <f t="shared" si="10"/>
        <v>1</v>
      </c>
      <c r="AE16" s="226">
        <f t="shared" si="11"/>
        <v>1</v>
      </c>
      <c r="AF16" s="226">
        <f t="shared" si="12"/>
        <v>0</v>
      </c>
      <c r="AG16" s="226">
        <f t="shared" si="13"/>
        <v>0</v>
      </c>
      <c r="AH16" s="226">
        <f t="shared" si="14"/>
        <v>1</v>
      </c>
      <c r="AI16" s="226">
        <f t="shared" si="5"/>
        <v>0</v>
      </c>
      <c r="AJ16" s="226">
        <f t="shared" si="6"/>
        <v>0</v>
      </c>
      <c r="AK16" s="226">
        <f t="shared" si="7"/>
        <v>0</v>
      </c>
      <c r="AL16" s="233">
        <v>4</v>
      </c>
      <c r="AM16" s="203">
        <f t="shared" si="15"/>
        <v>1000004</v>
      </c>
      <c r="AN16" s="234">
        <f>LARGE($AM$13:$AM$16,AL16)</f>
        <v>-88</v>
      </c>
      <c r="AO16" s="234">
        <f>MATCH(AN16,$AM$13:$AM$16,0)</f>
        <v>2</v>
      </c>
      <c r="AP16" s="234" t="str">
        <f>VLOOKUP(AO16,$AB$13:$AC$16,2)</f>
        <v>Argentina</v>
      </c>
      <c r="AQ16" s="226">
        <f>IF(AS15=AS16,"-",4)</f>
        <v>4</v>
      </c>
      <c r="AR16" s="235">
        <f t="shared" si="8"/>
        <v>1000000</v>
      </c>
      <c r="AS16" s="226">
        <f>LARGE($AR$13:$AR$16,AL16)</f>
        <v>-90</v>
      </c>
      <c r="AT16" s="582"/>
      <c r="AU16" s="197">
        <v>0.12</v>
      </c>
      <c r="AV16" s="222">
        <v>12</v>
      </c>
      <c r="AW16" s="197" t="str">
        <f t="shared" si="16"/>
        <v>Croácia</v>
      </c>
      <c r="AX16" s="199">
        <f t="shared" si="17"/>
        <v>0</v>
      </c>
      <c r="AY16" s="197">
        <f t="shared" si="18"/>
        <v>0.12</v>
      </c>
      <c r="AZ16" s="197">
        <f t="shared" si="19"/>
        <v>0.31</v>
      </c>
      <c r="BA16" s="199">
        <f t="shared" si="20"/>
        <v>31</v>
      </c>
      <c r="BB16" s="197" t="str">
        <f t="shared" si="21"/>
        <v>Tunísia</v>
      </c>
      <c r="BC16" s="199">
        <f t="shared" si="22"/>
        <v>0</v>
      </c>
      <c r="BE16" s="197">
        <v>0.12</v>
      </c>
      <c r="BF16" s="222">
        <v>12</v>
      </c>
      <c r="BG16" s="197" t="str">
        <f t="shared" si="23"/>
        <v>Croácia</v>
      </c>
      <c r="BH16" s="199">
        <f t="shared" si="24"/>
        <v>0</v>
      </c>
      <c r="BI16" s="197">
        <f t="shared" si="25"/>
        <v>0.12</v>
      </c>
      <c r="BJ16" s="197">
        <f t="shared" si="26"/>
        <v>0.18</v>
      </c>
      <c r="BK16" s="199">
        <f t="shared" si="27"/>
        <v>18</v>
      </c>
      <c r="BL16" s="197" t="str">
        <f t="shared" si="28"/>
        <v>Gana</v>
      </c>
      <c r="BM16" s="199">
        <f t="shared" si="29"/>
        <v>0</v>
      </c>
      <c r="BN16" s="197">
        <v>12</v>
      </c>
      <c r="BO16" s="197" t="str">
        <f t="shared" si="30"/>
        <v>Croácia</v>
      </c>
      <c r="BP16" s="199">
        <f t="shared" si="31"/>
        <v>0</v>
      </c>
      <c r="BQ16" s="199">
        <f t="shared" si="32"/>
        <v>0</v>
      </c>
      <c r="BR16" s="199">
        <f t="shared" si="33"/>
        <v>0</v>
      </c>
      <c r="BS16" s="199">
        <f t="shared" si="34"/>
        <v>0</v>
      </c>
      <c r="BT16" s="199">
        <f t="shared" si="35"/>
        <v>0</v>
      </c>
      <c r="BU16" s="199">
        <f t="shared" si="36"/>
        <v>0</v>
      </c>
      <c r="BV16" s="199">
        <f t="shared" si="37"/>
        <v>0</v>
      </c>
      <c r="BW16" s="199">
        <f t="shared" si="38"/>
        <v>0</v>
      </c>
      <c r="BX16" s="197">
        <v>8.7999999999999995E-2</v>
      </c>
      <c r="BY16" s="204">
        <f t="shared" si="39"/>
        <v>8.7999999999999995E-2</v>
      </c>
      <c r="BZ16" s="204">
        <f>LARGE(BY$5:$BY$36,BN16)</f>
        <v>9.1999999999999998E-2</v>
      </c>
      <c r="CA16" s="203">
        <f t="shared" si="40"/>
        <v>8</v>
      </c>
      <c r="CB16" s="203" t="str">
        <f t="shared" si="9"/>
        <v>Canadá</v>
      </c>
      <c r="CC16" s="199" t="str">
        <f t="shared" si="42"/>
        <v>-</v>
      </c>
      <c r="CD16" s="207">
        <f t="shared" si="41"/>
        <v>0</v>
      </c>
      <c r="CE16" s="203">
        <f>LARGE($CD$5:CD$36,BN16)</f>
        <v>0</v>
      </c>
    </row>
    <row r="17" spans="2:83" ht="15" x14ac:dyDescent="0.2">
      <c r="B17" s="214">
        <f>AQ13</f>
        <v>1</v>
      </c>
      <c r="C17" s="215" t="str">
        <f>AP13</f>
        <v>Arábia Saudita</v>
      </c>
      <c r="D17" s="216">
        <f>3*F17+H17</f>
        <v>3</v>
      </c>
      <c r="E17" s="216">
        <f>F17+G17+H17</f>
        <v>1</v>
      </c>
      <c r="F17" s="216">
        <f>VLOOKUP($AP13,$AC$13:$AK$16,4)</f>
        <v>1</v>
      </c>
      <c r="G17" s="216">
        <f>VLOOKUP($AP13,$AC$13:$AK$16,5)</f>
        <v>0</v>
      </c>
      <c r="H17" s="216">
        <f>VLOOKUP($AP13,$AC$13:$AK$16,6)</f>
        <v>0</v>
      </c>
      <c r="I17" s="216">
        <f>VLOOKUP($AP13,$AC$13:$AK$16,7)</f>
        <v>2</v>
      </c>
      <c r="J17" s="216">
        <f>VLOOKUP($AP13,$AC$13:$AK$16,8)</f>
        <v>1</v>
      </c>
      <c r="K17" s="217">
        <f>I17-J17</f>
        <v>1</v>
      </c>
      <c r="L17" s="197">
        <v>17</v>
      </c>
      <c r="M17" s="200" t="s">
        <v>3</v>
      </c>
      <c r="N17" s="197">
        <v>16</v>
      </c>
      <c r="O17" s="202" t="str">
        <f>Copa2022!E26</f>
        <v>Argentina</v>
      </c>
      <c r="P17" s="202" t="str">
        <f>IF(Copa2022!F26="","",Copa2022!F26)</f>
        <v/>
      </c>
      <c r="Q17" s="202" t="str">
        <f>Copa2022!G26</f>
        <v>x</v>
      </c>
      <c r="R17" s="202" t="str">
        <f>IF(Copa2022!H26="","",Copa2022!H26)</f>
        <v/>
      </c>
      <c r="S17" s="202" t="str">
        <f>Copa2022!I26</f>
        <v>México</v>
      </c>
      <c r="V17" s="197" t="b">
        <f t="shared" si="0"/>
        <v>0</v>
      </c>
      <c r="W17" s="199" t="str">
        <f t="shared" si="1"/>
        <v/>
      </c>
      <c r="X17" s="199" t="str">
        <f t="shared" si="2"/>
        <v/>
      </c>
      <c r="Y17" s="199" t="b">
        <f t="shared" si="3"/>
        <v>0</v>
      </c>
      <c r="Z17" s="199" t="b">
        <f t="shared" si="4"/>
        <v>0</v>
      </c>
      <c r="AA17" s="199"/>
      <c r="AB17" s="218">
        <v>1</v>
      </c>
      <c r="AC17" s="219" t="s">
        <v>159</v>
      </c>
      <c r="AD17" s="220">
        <f t="shared" si="10"/>
        <v>0</v>
      </c>
      <c r="AE17" s="220">
        <f t="shared" si="11"/>
        <v>1</v>
      </c>
      <c r="AF17" s="220">
        <f t="shared" si="12"/>
        <v>0</v>
      </c>
      <c r="AG17" s="220">
        <f t="shared" si="13"/>
        <v>1</v>
      </c>
      <c r="AH17" s="220">
        <f t="shared" si="14"/>
        <v>0</v>
      </c>
      <c r="AI17" s="220">
        <f t="shared" si="5"/>
        <v>1</v>
      </c>
      <c r="AJ17" s="220">
        <f t="shared" si="6"/>
        <v>4</v>
      </c>
      <c r="AK17" s="220">
        <f t="shared" si="7"/>
        <v>-3</v>
      </c>
      <c r="AL17" s="221">
        <v>1</v>
      </c>
      <c r="AM17" s="203">
        <f t="shared" si="15"/>
        <v>-289</v>
      </c>
      <c r="AN17" s="203">
        <f>LARGE($AM$17:$AM$20,AL17)</f>
        <v>3000343</v>
      </c>
      <c r="AO17" s="203">
        <f>MATCH(AN17,$AM$17:$AM$20,0)</f>
        <v>3</v>
      </c>
      <c r="AP17" s="203" t="str">
        <f>VLOOKUP(AO17,$AB$17:$AC$20,2)</f>
        <v>França</v>
      </c>
      <c r="AQ17" s="199">
        <v>1</v>
      </c>
      <c r="AR17" s="207">
        <f t="shared" si="8"/>
        <v>-290</v>
      </c>
      <c r="AS17" s="199">
        <f>LARGE($AR$17:$AR$20,AL17)</f>
        <v>3000340</v>
      </c>
      <c r="AT17" s="580" t="s">
        <v>38</v>
      </c>
      <c r="AU17" s="197">
        <v>0.13</v>
      </c>
      <c r="AV17" s="222">
        <v>13</v>
      </c>
      <c r="AW17" s="197" t="str">
        <f t="shared" si="16"/>
        <v>Dinamarca</v>
      </c>
      <c r="AX17" s="199">
        <f t="shared" si="17"/>
        <v>0</v>
      </c>
      <c r="AY17" s="197">
        <f t="shared" si="18"/>
        <v>0.13</v>
      </c>
      <c r="AZ17" s="197">
        <f t="shared" si="19"/>
        <v>0.3</v>
      </c>
      <c r="BA17" s="199">
        <f t="shared" si="20"/>
        <v>30</v>
      </c>
      <c r="BB17" s="197" t="str">
        <f t="shared" si="21"/>
        <v>Suíça</v>
      </c>
      <c r="BC17" s="199">
        <f t="shared" si="22"/>
        <v>0</v>
      </c>
      <c r="BE17" s="197">
        <v>0.13</v>
      </c>
      <c r="BF17" s="222">
        <v>13</v>
      </c>
      <c r="BG17" s="197" t="str">
        <f t="shared" si="23"/>
        <v>Dinamarca</v>
      </c>
      <c r="BH17" s="199">
        <f t="shared" si="24"/>
        <v>0</v>
      </c>
      <c r="BI17" s="197">
        <f t="shared" si="25"/>
        <v>0.13</v>
      </c>
      <c r="BJ17" s="197">
        <f t="shared" si="26"/>
        <v>0.19</v>
      </c>
      <c r="BK17" s="199">
        <f t="shared" si="27"/>
        <v>19</v>
      </c>
      <c r="BL17" s="197" t="str">
        <f t="shared" si="28"/>
        <v>Holanda</v>
      </c>
      <c r="BM17" s="199">
        <f t="shared" si="29"/>
        <v>0</v>
      </c>
      <c r="BN17" s="197">
        <v>13</v>
      </c>
      <c r="BO17" s="197" t="str">
        <f t="shared" si="30"/>
        <v>Dinamarca</v>
      </c>
      <c r="BP17" s="199">
        <f t="shared" si="31"/>
        <v>0</v>
      </c>
      <c r="BQ17" s="199">
        <f t="shared" si="32"/>
        <v>0</v>
      </c>
      <c r="BR17" s="199">
        <f t="shared" si="33"/>
        <v>0</v>
      </c>
      <c r="BS17" s="199">
        <f t="shared" si="34"/>
        <v>0</v>
      </c>
      <c r="BT17" s="199">
        <f t="shared" si="35"/>
        <v>0</v>
      </c>
      <c r="BU17" s="199">
        <f t="shared" si="36"/>
        <v>0</v>
      </c>
      <c r="BV17" s="199">
        <f t="shared" si="37"/>
        <v>0</v>
      </c>
      <c r="BW17" s="199">
        <f t="shared" si="38"/>
        <v>0</v>
      </c>
      <c r="BX17" s="197">
        <v>8.6999999999999994E-2</v>
      </c>
      <c r="BY17" s="204">
        <f t="shared" si="39"/>
        <v>8.6999999999999994E-2</v>
      </c>
      <c r="BZ17" s="204">
        <f>LARGE(BY$5:$BY$36,BN17)</f>
        <v>0.09</v>
      </c>
      <c r="CA17" s="203">
        <f t="shared" si="40"/>
        <v>10</v>
      </c>
      <c r="CB17" s="203" t="str">
        <f t="shared" si="9"/>
        <v>Coreia do Sul</v>
      </c>
      <c r="CC17" s="199" t="str">
        <f t="shared" si="42"/>
        <v>-</v>
      </c>
      <c r="CD17" s="207">
        <f t="shared" si="41"/>
        <v>0</v>
      </c>
      <c r="CE17" s="203">
        <f>LARGE($CD$5:CD$36,BN17)</f>
        <v>0</v>
      </c>
    </row>
    <row r="18" spans="2:83" ht="15" x14ac:dyDescent="0.2">
      <c r="B18" s="214">
        <f>AQ14</f>
        <v>2</v>
      </c>
      <c r="C18" s="215" t="str">
        <f>AP14</f>
        <v>Polônia</v>
      </c>
      <c r="D18" s="216">
        <f>3*F18+H18</f>
        <v>1</v>
      </c>
      <c r="E18" s="216">
        <f>F18+G18+H18</f>
        <v>1</v>
      </c>
      <c r="F18" s="216">
        <f>VLOOKUP($AP14,$AC$13:$AK$16,4)</f>
        <v>0</v>
      </c>
      <c r="G18" s="216">
        <f>VLOOKUP($AP14,$AC$13:$AK$16,5)</f>
        <v>0</v>
      </c>
      <c r="H18" s="216">
        <f>VLOOKUP($AP14,$AC$13:$AK$16,6)</f>
        <v>1</v>
      </c>
      <c r="I18" s="216">
        <f>VLOOKUP($AP14,$AC$13:$AK$16,7)</f>
        <v>0</v>
      </c>
      <c r="J18" s="216">
        <f>VLOOKUP($AP14,$AC$13:$AK$16,8)</f>
        <v>0</v>
      </c>
      <c r="K18" s="217">
        <f>I18-J18</f>
        <v>0</v>
      </c>
      <c r="L18" s="197">
        <v>18</v>
      </c>
      <c r="M18" s="200" t="s">
        <v>152</v>
      </c>
      <c r="N18" s="197">
        <v>17</v>
      </c>
      <c r="O18" s="202" t="str">
        <f>Copa2022!E27</f>
        <v>Polônia</v>
      </c>
      <c r="P18" s="202" t="str">
        <f>IF(Copa2022!F27="","",Copa2022!F27)</f>
        <v/>
      </c>
      <c r="Q18" s="202" t="str">
        <f>Copa2022!G27</f>
        <v>x</v>
      </c>
      <c r="R18" s="202" t="str">
        <f>IF(Copa2022!H27="","",Copa2022!H27)</f>
        <v/>
      </c>
      <c r="S18" s="202" t="str">
        <f>Copa2022!I27</f>
        <v>Argentina</v>
      </c>
      <c r="V18" s="197" t="b">
        <f t="shared" si="0"/>
        <v>0</v>
      </c>
      <c r="W18" s="199" t="str">
        <f t="shared" si="1"/>
        <v/>
      </c>
      <c r="X18" s="199" t="str">
        <f t="shared" si="2"/>
        <v/>
      </c>
      <c r="Y18" s="199" t="b">
        <f t="shared" si="3"/>
        <v>0</v>
      </c>
      <c r="Z18" s="199" t="b">
        <f t="shared" si="4"/>
        <v>0</v>
      </c>
      <c r="AA18" s="199"/>
      <c r="AB18" s="223">
        <v>2</v>
      </c>
      <c r="AC18" s="200" t="s">
        <v>127</v>
      </c>
      <c r="AD18" s="199">
        <f t="shared" si="10"/>
        <v>1</v>
      </c>
      <c r="AE18" s="199">
        <f t="shared" si="11"/>
        <v>1</v>
      </c>
      <c r="AF18" s="199">
        <f t="shared" si="12"/>
        <v>0</v>
      </c>
      <c r="AG18" s="199">
        <f t="shared" si="13"/>
        <v>0</v>
      </c>
      <c r="AH18" s="199">
        <f t="shared" si="14"/>
        <v>1</v>
      </c>
      <c r="AI18" s="199">
        <f t="shared" si="5"/>
        <v>0</v>
      </c>
      <c r="AJ18" s="199">
        <f t="shared" si="6"/>
        <v>0</v>
      </c>
      <c r="AK18" s="199">
        <f t="shared" si="7"/>
        <v>0</v>
      </c>
      <c r="AL18" s="224">
        <v>2</v>
      </c>
      <c r="AM18" s="203">
        <f t="shared" si="15"/>
        <v>1000002</v>
      </c>
      <c r="AN18" s="203">
        <f>LARGE($AM$17:$AM$20,AL18)</f>
        <v>1000004</v>
      </c>
      <c r="AO18" s="203">
        <f>MATCH(AN18,$AM$17:$AM$20,0)</f>
        <v>4</v>
      </c>
      <c r="AP18" s="203" t="str">
        <f>VLOOKUP(AO18,$AB$17:$AC$20,2)</f>
        <v>Tunísia</v>
      </c>
      <c r="AQ18" s="199">
        <f>IF(AS17=AS18,"-",2)</f>
        <v>2</v>
      </c>
      <c r="AR18" s="207">
        <f t="shared" si="8"/>
        <v>1000000</v>
      </c>
      <c r="AS18" s="199">
        <f>LARGE($AR$17:$AR$20,AL18)</f>
        <v>1000000</v>
      </c>
      <c r="AT18" s="581"/>
      <c r="AU18" s="197">
        <v>0.14000000000000001</v>
      </c>
      <c r="AV18" s="222">
        <v>14</v>
      </c>
      <c r="AW18" s="197" t="str">
        <f t="shared" si="16"/>
        <v>Equador</v>
      </c>
      <c r="AX18" s="199">
        <f t="shared" si="17"/>
        <v>2</v>
      </c>
      <c r="AY18" s="197">
        <f t="shared" si="18"/>
        <v>20000.14</v>
      </c>
      <c r="AZ18" s="197">
        <f t="shared" si="19"/>
        <v>0.28999999999999998</v>
      </c>
      <c r="BA18" s="199">
        <f t="shared" si="20"/>
        <v>29</v>
      </c>
      <c r="BB18" s="197" t="str">
        <f t="shared" si="21"/>
        <v>Sérvia</v>
      </c>
      <c r="BC18" s="199">
        <f t="shared" si="22"/>
        <v>0</v>
      </c>
      <c r="BE18" s="197">
        <v>0.14000000000000001</v>
      </c>
      <c r="BF18" s="222">
        <v>14</v>
      </c>
      <c r="BG18" s="197" t="str">
        <f t="shared" si="23"/>
        <v>Equador</v>
      </c>
      <c r="BH18" s="199">
        <f t="shared" si="24"/>
        <v>0</v>
      </c>
      <c r="BI18" s="197">
        <f t="shared" si="25"/>
        <v>0.14000000000000001</v>
      </c>
      <c r="BJ18" s="197">
        <f t="shared" si="26"/>
        <v>0.22</v>
      </c>
      <c r="BK18" s="199">
        <f t="shared" si="27"/>
        <v>22</v>
      </c>
      <c r="BL18" s="197" t="str">
        <f t="shared" si="28"/>
        <v>Japão</v>
      </c>
      <c r="BM18" s="199">
        <f t="shared" si="29"/>
        <v>0</v>
      </c>
      <c r="BN18" s="197">
        <v>14</v>
      </c>
      <c r="BO18" s="197" t="str">
        <f t="shared" si="30"/>
        <v>Equador</v>
      </c>
      <c r="BP18" s="199">
        <f t="shared" si="31"/>
        <v>0</v>
      </c>
      <c r="BQ18" s="199">
        <f t="shared" si="32"/>
        <v>0</v>
      </c>
      <c r="BR18" s="199">
        <f t="shared" si="33"/>
        <v>0</v>
      </c>
      <c r="BS18" s="199">
        <f t="shared" si="34"/>
        <v>0</v>
      </c>
      <c r="BT18" s="199">
        <f t="shared" si="35"/>
        <v>0</v>
      </c>
      <c r="BU18" s="199">
        <f t="shared" si="36"/>
        <v>2</v>
      </c>
      <c r="BV18" s="199">
        <f t="shared" si="37"/>
        <v>0</v>
      </c>
      <c r="BW18" s="199">
        <f t="shared" si="38"/>
        <v>2</v>
      </c>
      <c r="BX18" s="197">
        <v>8.5999999999999993E-2</v>
      </c>
      <c r="BY18" s="204">
        <f t="shared" si="39"/>
        <v>20200.085999999999</v>
      </c>
      <c r="BZ18" s="204">
        <f>LARGE(BY$5:$BY$36,BN18)</f>
        <v>8.8999999999999996E-2</v>
      </c>
      <c r="CA18" s="203">
        <f t="shared" si="40"/>
        <v>11</v>
      </c>
      <c r="CB18" s="203" t="str">
        <f t="shared" si="9"/>
        <v>Costa Rica</v>
      </c>
      <c r="CC18" s="199" t="str">
        <f t="shared" si="42"/>
        <v>-</v>
      </c>
      <c r="CD18" s="207">
        <f t="shared" si="41"/>
        <v>20200</v>
      </c>
      <c r="CE18" s="203">
        <f>LARGE($CD$5:CD$36,BN18)</f>
        <v>0</v>
      </c>
    </row>
    <row r="19" spans="2:83" ht="15" x14ac:dyDescent="0.2">
      <c r="B19" s="214" t="str">
        <f>AQ15</f>
        <v>-</v>
      </c>
      <c r="C19" s="215" t="str">
        <f>AP15</f>
        <v>México</v>
      </c>
      <c r="D19" s="216">
        <f>3*F19+H19</f>
        <v>1</v>
      </c>
      <c r="E19" s="216">
        <f>F19+G19+H19</f>
        <v>1</v>
      </c>
      <c r="F19" s="216">
        <f>VLOOKUP($AP15,$AC$13:$AK$16,4)</f>
        <v>0</v>
      </c>
      <c r="G19" s="216">
        <f>VLOOKUP($AP15,$AC$13:$AK$16,5)</f>
        <v>0</v>
      </c>
      <c r="H19" s="216">
        <f>VLOOKUP($AP15,$AC$13:$AK$16,6)</f>
        <v>1</v>
      </c>
      <c r="I19" s="216">
        <f>VLOOKUP($AP15,$AC$13:$AK$16,7)</f>
        <v>0</v>
      </c>
      <c r="J19" s="216">
        <f>VLOOKUP($AP15,$AC$13:$AK$16,8)</f>
        <v>0</v>
      </c>
      <c r="K19" s="217">
        <f>I19-J19</f>
        <v>0</v>
      </c>
      <c r="L19" s="197">
        <v>19</v>
      </c>
      <c r="M19" s="200" t="s">
        <v>140</v>
      </c>
      <c r="N19" s="197">
        <v>18</v>
      </c>
      <c r="O19" s="202" t="str">
        <f>Copa2022!E28</f>
        <v>Arábia Saudita</v>
      </c>
      <c r="P19" s="202" t="str">
        <f>IF(Copa2022!F28="","",Copa2022!F28)</f>
        <v/>
      </c>
      <c r="Q19" s="202" t="str">
        <f>Copa2022!G28</f>
        <v>x</v>
      </c>
      <c r="R19" s="202" t="str">
        <f>IF(Copa2022!H28="","",Copa2022!H28)</f>
        <v/>
      </c>
      <c r="S19" s="202" t="str">
        <f>Copa2022!I28</f>
        <v>México</v>
      </c>
      <c r="V19" s="225" t="b">
        <f t="shared" si="0"/>
        <v>0</v>
      </c>
      <c r="W19" s="199" t="str">
        <f t="shared" si="1"/>
        <v/>
      </c>
      <c r="X19" s="199" t="str">
        <f t="shared" si="2"/>
        <v/>
      </c>
      <c r="Y19" s="199" t="b">
        <f t="shared" si="3"/>
        <v>0</v>
      </c>
      <c r="Z19" s="199" t="b">
        <f t="shared" si="4"/>
        <v>0</v>
      </c>
      <c r="AA19" s="226"/>
      <c r="AB19" s="223">
        <v>3</v>
      </c>
      <c r="AC19" s="200" t="s">
        <v>3</v>
      </c>
      <c r="AD19" s="199">
        <f t="shared" si="10"/>
        <v>3</v>
      </c>
      <c r="AE19" s="199">
        <f t="shared" si="11"/>
        <v>1</v>
      </c>
      <c r="AF19" s="199">
        <f t="shared" si="12"/>
        <v>1</v>
      </c>
      <c r="AG19" s="199">
        <f t="shared" si="13"/>
        <v>0</v>
      </c>
      <c r="AH19" s="199">
        <f t="shared" si="14"/>
        <v>0</v>
      </c>
      <c r="AI19" s="199">
        <f t="shared" si="5"/>
        <v>4</v>
      </c>
      <c r="AJ19" s="199">
        <f t="shared" si="6"/>
        <v>1</v>
      </c>
      <c r="AK19" s="199">
        <f t="shared" si="7"/>
        <v>3</v>
      </c>
      <c r="AL19" s="224">
        <v>3</v>
      </c>
      <c r="AM19" s="203">
        <f t="shared" si="15"/>
        <v>3000343</v>
      </c>
      <c r="AN19" s="203">
        <f>LARGE($AM$17:$AM$20,AL19)</f>
        <v>1000002</v>
      </c>
      <c r="AO19" s="203">
        <f>MATCH(AN19,$AM$17:$AM$20,0)</f>
        <v>2</v>
      </c>
      <c r="AP19" s="203" t="str">
        <f>VLOOKUP(AO19,$AB$17:$AC$20,2)</f>
        <v>Dinamarca</v>
      </c>
      <c r="AQ19" s="199" t="str">
        <f>IF(AS18=AS19,"-",3)</f>
        <v>-</v>
      </c>
      <c r="AR19" s="207">
        <f t="shared" si="8"/>
        <v>3000340</v>
      </c>
      <c r="AS19" s="199">
        <f>LARGE($AR$17:$AR$20,AL19)</f>
        <v>1000000</v>
      </c>
      <c r="AT19" s="581"/>
      <c r="AU19" s="197">
        <v>0.15</v>
      </c>
      <c r="AV19" s="222">
        <v>15</v>
      </c>
      <c r="AW19" s="197" t="str">
        <f t="shared" si="16"/>
        <v>Espanha</v>
      </c>
      <c r="AX19" s="199">
        <f t="shared" si="17"/>
        <v>0</v>
      </c>
      <c r="AY19" s="197">
        <f t="shared" si="18"/>
        <v>0.15</v>
      </c>
      <c r="AZ19" s="197">
        <f t="shared" si="19"/>
        <v>0.28000000000000003</v>
      </c>
      <c r="BA19" s="199">
        <f t="shared" si="20"/>
        <v>28</v>
      </c>
      <c r="BB19" s="197" t="str">
        <f t="shared" si="21"/>
        <v>Senegal</v>
      </c>
      <c r="BC19" s="199">
        <f t="shared" si="22"/>
        <v>0</v>
      </c>
      <c r="BE19" s="197">
        <v>0.15</v>
      </c>
      <c r="BF19" s="222">
        <v>15</v>
      </c>
      <c r="BG19" s="197" t="str">
        <f t="shared" si="23"/>
        <v>Espanha</v>
      </c>
      <c r="BH19" s="199">
        <f t="shared" si="24"/>
        <v>0</v>
      </c>
      <c r="BI19" s="197">
        <f t="shared" si="25"/>
        <v>0.15</v>
      </c>
      <c r="BJ19" s="197">
        <f t="shared" si="26"/>
        <v>0.23</v>
      </c>
      <c r="BK19" s="199">
        <f t="shared" si="27"/>
        <v>23</v>
      </c>
      <c r="BL19" s="197" t="str">
        <f t="shared" si="28"/>
        <v>Marrocos</v>
      </c>
      <c r="BM19" s="199">
        <f t="shared" si="29"/>
        <v>0</v>
      </c>
      <c r="BN19" s="197">
        <v>15</v>
      </c>
      <c r="BO19" s="197" t="str">
        <f t="shared" si="30"/>
        <v>Espanha</v>
      </c>
      <c r="BP19" s="199">
        <f t="shared" si="31"/>
        <v>0</v>
      </c>
      <c r="BQ19" s="199">
        <f t="shared" si="32"/>
        <v>0</v>
      </c>
      <c r="BR19" s="199">
        <f t="shared" si="33"/>
        <v>0</v>
      </c>
      <c r="BS19" s="199">
        <f t="shared" si="34"/>
        <v>0</v>
      </c>
      <c r="BT19" s="199">
        <f t="shared" si="35"/>
        <v>0</v>
      </c>
      <c r="BU19" s="199">
        <f t="shared" si="36"/>
        <v>0</v>
      </c>
      <c r="BV19" s="199">
        <f t="shared" si="37"/>
        <v>0</v>
      </c>
      <c r="BW19" s="199">
        <f t="shared" si="38"/>
        <v>0</v>
      </c>
      <c r="BX19" s="197">
        <v>8.5000000000000006E-2</v>
      </c>
      <c r="BY19" s="204">
        <f t="shared" si="39"/>
        <v>8.5000000000000006E-2</v>
      </c>
      <c r="BZ19" s="204">
        <f>LARGE(BY$5:$BY$36,BN19)</f>
        <v>8.7999999999999995E-2</v>
      </c>
      <c r="CA19" s="203">
        <f t="shared" si="40"/>
        <v>12</v>
      </c>
      <c r="CB19" s="203" t="str">
        <f t="shared" si="9"/>
        <v>Croácia</v>
      </c>
      <c r="CC19" s="199" t="str">
        <f t="shared" si="42"/>
        <v>-</v>
      </c>
      <c r="CD19" s="207">
        <f t="shared" si="41"/>
        <v>0</v>
      </c>
      <c r="CE19" s="203">
        <f>LARGE($CD$5:CD$36,BN19)</f>
        <v>0</v>
      </c>
    </row>
    <row r="20" spans="2:83" ht="15.75" thickBot="1" x14ac:dyDescent="0.25">
      <c r="B20" s="227">
        <f>AQ16</f>
        <v>4</v>
      </c>
      <c r="C20" s="228" t="str">
        <f>AP16</f>
        <v>Argentina</v>
      </c>
      <c r="D20" s="229">
        <f>3*F20+H20</f>
        <v>0</v>
      </c>
      <c r="E20" s="229">
        <f>F20+G20+H20</f>
        <v>1</v>
      </c>
      <c r="F20" s="229">
        <f>VLOOKUP($AP16,$AC$13:$AK$16,4)</f>
        <v>0</v>
      </c>
      <c r="G20" s="229">
        <f>VLOOKUP($AP16,$AC$13:$AK$16,5)</f>
        <v>1</v>
      </c>
      <c r="H20" s="229">
        <f>VLOOKUP($AP16,$AC$13:$AK$16,6)</f>
        <v>0</v>
      </c>
      <c r="I20" s="229">
        <f>VLOOKUP($AP16,$AC$13:$AK$16,7)</f>
        <v>1</v>
      </c>
      <c r="J20" s="229">
        <f>VLOOKUP($AP16,$AC$13:$AK$16,8)</f>
        <v>2</v>
      </c>
      <c r="K20" s="230">
        <f>I20-J20</f>
        <v>-1</v>
      </c>
      <c r="L20" s="197">
        <v>20</v>
      </c>
      <c r="M20" s="200" t="s">
        <v>6</v>
      </c>
      <c r="N20" s="197">
        <v>19</v>
      </c>
      <c r="O20" s="202" t="str">
        <f>Copa2022!E29</f>
        <v>Dinamarca</v>
      </c>
      <c r="P20" s="202">
        <f>IF(Copa2022!F29="","",Copa2022!F29)</f>
        <v>0</v>
      </c>
      <c r="Q20" s="202" t="str">
        <f>Copa2022!G29</f>
        <v>x</v>
      </c>
      <c r="R20" s="202">
        <f>IF(Copa2022!H29="","",Copa2022!H29)</f>
        <v>0</v>
      </c>
      <c r="S20" s="202" t="str">
        <f>Copa2022!I29</f>
        <v>Tunísia</v>
      </c>
      <c r="V20" s="197" t="b">
        <f t="shared" si="0"/>
        <v>1</v>
      </c>
      <c r="W20" s="199" t="str">
        <f t="shared" si="1"/>
        <v>empate</v>
      </c>
      <c r="X20" s="199" t="str">
        <f t="shared" si="2"/>
        <v>empate</v>
      </c>
      <c r="Y20" s="199" t="str">
        <f t="shared" si="3"/>
        <v>Dinamarca</v>
      </c>
      <c r="Z20" s="199" t="str">
        <f t="shared" si="4"/>
        <v>Tunísia</v>
      </c>
      <c r="AA20" s="199"/>
      <c r="AB20" s="231">
        <v>4</v>
      </c>
      <c r="AC20" s="232" t="s">
        <v>129</v>
      </c>
      <c r="AD20" s="226">
        <f t="shared" si="10"/>
        <v>1</v>
      </c>
      <c r="AE20" s="226">
        <f t="shared" si="11"/>
        <v>1</v>
      </c>
      <c r="AF20" s="226">
        <f t="shared" si="12"/>
        <v>0</v>
      </c>
      <c r="AG20" s="226">
        <f t="shared" si="13"/>
        <v>0</v>
      </c>
      <c r="AH20" s="226">
        <f t="shared" si="14"/>
        <v>1</v>
      </c>
      <c r="AI20" s="226">
        <f t="shared" si="5"/>
        <v>0</v>
      </c>
      <c r="AJ20" s="226">
        <f t="shared" si="6"/>
        <v>0</v>
      </c>
      <c r="AK20" s="226">
        <f t="shared" si="7"/>
        <v>0</v>
      </c>
      <c r="AL20" s="233">
        <v>4</v>
      </c>
      <c r="AM20" s="203">
        <f t="shared" si="15"/>
        <v>1000004</v>
      </c>
      <c r="AN20" s="234">
        <f>LARGE($AM$17:$AM$20,AL20)</f>
        <v>-289</v>
      </c>
      <c r="AO20" s="234">
        <f>MATCH(AN20,$AM$17:$AM$20,0)</f>
        <v>1</v>
      </c>
      <c r="AP20" s="234" t="str">
        <f>VLOOKUP(AO20,$AB$17:$AC$20,2)</f>
        <v>Austrália</v>
      </c>
      <c r="AQ20" s="226">
        <f>IF(AS19=AS20,"-",4)</f>
        <v>4</v>
      </c>
      <c r="AR20" s="235">
        <f t="shared" si="8"/>
        <v>1000000</v>
      </c>
      <c r="AS20" s="226">
        <f>LARGE($AR$17:$AR$20,AL20)</f>
        <v>-290</v>
      </c>
      <c r="AT20" s="582"/>
      <c r="AU20" s="197">
        <v>0.16</v>
      </c>
      <c r="AV20" s="222">
        <v>16</v>
      </c>
      <c r="AW20" s="197" t="str">
        <f t="shared" si="16"/>
        <v>Estados Unidos</v>
      </c>
      <c r="AX20" s="199">
        <f t="shared" si="17"/>
        <v>1</v>
      </c>
      <c r="AY20" s="197">
        <f t="shared" si="18"/>
        <v>10000.16</v>
      </c>
      <c r="AZ20" s="197">
        <f t="shared" si="19"/>
        <v>0.27</v>
      </c>
      <c r="BA20" s="199">
        <f t="shared" si="20"/>
        <v>27</v>
      </c>
      <c r="BB20" s="197" t="str">
        <f t="shared" si="21"/>
        <v>Portugal</v>
      </c>
      <c r="BC20" s="199">
        <f t="shared" si="22"/>
        <v>0</v>
      </c>
      <c r="BE20" s="197">
        <v>0.16</v>
      </c>
      <c r="BF20" s="222">
        <v>16</v>
      </c>
      <c r="BG20" s="197" t="str">
        <f t="shared" si="23"/>
        <v>Estados Unidos</v>
      </c>
      <c r="BH20" s="199">
        <f t="shared" si="24"/>
        <v>1</v>
      </c>
      <c r="BI20" s="197">
        <f t="shared" si="25"/>
        <v>10000.16</v>
      </c>
      <c r="BJ20" s="197">
        <f t="shared" si="26"/>
        <v>0.24</v>
      </c>
      <c r="BK20" s="199">
        <f t="shared" si="27"/>
        <v>24</v>
      </c>
      <c r="BL20" s="197" t="str">
        <f t="shared" si="28"/>
        <v>México</v>
      </c>
      <c r="BM20" s="199">
        <f t="shared" si="29"/>
        <v>0</v>
      </c>
      <c r="BN20" s="197">
        <v>16</v>
      </c>
      <c r="BO20" s="197" t="str">
        <f t="shared" si="30"/>
        <v>Estados Unidos</v>
      </c>
      <c r="BP20" s="199">
        <f t="shared" si="31"/>
        <v>0</v>
      </c>
      <c r="BQ20" s="199">
        <f t="shared" si="32"/>
        <v>0</v>
      </c>
      <c r="BR20" s="199">
        <f t="shared" si="33"/>
        <v>0</v>
      </c>
      <c r="BS20" s="199">
        <f t="shared" si="34"/>
        <v>0</v>
      </c>
      <c r="BT20" s="199">
        <f t="shared" si="35"/>
        <v>0</v>
      </c>
      <c r="BU20" s="199">
        <f t="shared" si="36"/>
        <v>1</v>
      </c>
      <c r="BV20" s="199">
        <f t="shared" si="37"/>
        <v>1</v>
      </c>
      <c r="BW20" s="199">
        <f t="shared" si="38"/>
        <v>0</v>
      </c>
      <c r="BX20" s="197">
        <v>8.4000000000000005E-2</v>
      </c>
      <c r="BY20" s="204">
        <f t="shared" si="39"/>
        <v>100.084</v>
      </c>
      <c r="BZ20" s="204">
        <f>LARGE(BY$5:$BY$36,BN20)</f>
        <v>8.6999999999999994E-2</v>
      </c>
      <c r="CA20" s="203">
        <f t="shared" si="40"/>
        <v>13</v>
      </c>
      <c r="CB20" s="203" t="str">
        <f t="shared" si="9"/>
        <v>Dinamarca</v>
      </c>
      <c r="CC20" s="199" t="str">
        <f t="shared" si="42"/>
        <v>-</v>
      </c>
      <c r="CD20" s="207">
        <f t="shared" si="41"/>
        <v>100</v>
      </c>
      <c r="CE20" s="203">
        <f>LARGE($CD$5:CD$36,BN20)</f>
        <v>0</v>
      </c>
    </row>
    <row r="21" spans="2:83" ht="15.75" thickBot="1" x14ac:dyDescent="0.25">
      <c r="B21" s="236"/>
      <c r="C21" s="237"/>
      <c r="D21" s="236"/>
      <c r="E21" s="236">
        <f>SUM(E17:E20)</f>
        <v>4</v>
      </c>
      <c r="F21" s="236"/>
      <c r="G21" s="236"/>
      <c r="H21" s="236"/>
      <c r="I21" s="236"/>
      <c r="J21" s="236"/>
      <c r="K21" s="236"/>
      <c r="L21" s="197">
        <v>21</v>
      </c>
      <c r="M21" s="200" t="s">
        <v>123</v>
      </c>
      <c r="N21" s="197">
        <v>20</v>
      </c>
      <c r="O21" s="202" t="str">
        <f>Copa2022!E30</f>
        <v>França</v>
      </c>
      <c r="P21" s="202">
        <f>IF(Copa2022!F30="","",Copa2022!F30)</f>
        <v>4</v>
      </c>
      <c r="Q21" s="202" t="str">
        <f>Copa2022!G30</f>
        <v>x</v>
      </c>
      <c r="R21" s="202">
        <f>IF(Copa2022!H30="","",Copa2022!H30)</f>
        <v>1</v>
      </c>
      <c r="S21" s="202" t="str">
        <f>Copa2022!I30</f>
        <v>Austrália</v>
      </c>
      <c r="V21" s="197" t="b">
        <f t="shared" si="0"/>
        <v>1</v>
      </c>
      <c r="W21" s="199" t="str">
        <f t="shared" si="1"/>
        <v>França</v>
      </c>
      <c r="X21" s="199" t="str">
        <f t="shared" si="2"/>
        <v>Austrália</v>
      </c>
      <c r="Y21" s="199" t="str">
        <f t="shared" si="3"/>
        <v/>
      </c>
      <c r="Z21" s="199" t="str">
        <f t="shared" si="4"/>
        <v/>
      </c>
      <c r="AA21" s="199"/>
      <c r="AB21" s="218">
        <v>1</v>
      </c>
      <c r="AC21" s="219" t="s">
        <v>7</v>
      </c>
      <c r="AD21" s="220">
        <f t="shared" si="10"/>
        <v>0</v>
      </c>
      <c r="AE21" s="220">
        <f t="shared" si="11"/>
        <v>0</v>
      </c>
      <c r="AF21" s="220">
        <f t="shared" si="12"/>
        <v>0</v>
      </c>
      <c r="AG21" s="220">
        <f t="shared" si="13"/>
        <v>0</v>
      </c>
      <c r="AH21" s="220">
        <f t="shared" si="14"/>
        <v>0</v>
      </c>
      <c r="AI21" s="220">
        <f t="shared" si="5"/>
        <v>0</v>
      </c>
      <c r="AJ21" s="220">
        <f t="shared" si="6"/>
        <v>0</v>
      </c>
      <c r="AK21" s="220">
        <f t="shared" si="7"/>
        <v>0</v>
      </c>
      <c r="AL21" s="221">
        <v>1</v>
      </c>
      <c r="AM21" s="203">
        <f t="shared" si="15"/>
        <v>1</v>
      </c>
      <c r="AN21" s="203">
        <f>LARGE($AM$21:$AM$24,AL21)</f>
        <v>4</v>
      </c>
      <c r="AO21" s="203">
        <f>MATCH(AN21,$AM$21:$AM$24,0)</f>
        <v>4</v>
      </c>
      <c r="AP21" s="203" t="str">
        <f>VLOOKUP(AO21,$AB$21:$AC$24,2)</f>
        <v>Japão</v>
      </c>
      <c r="AQ21" s="199">
        <v>1</v>
      </c>
      <c r="AR21" s="207">
        <f t="shared" si="8"/>
        <v>0</v>
      </c>
      <c r="AS21" s="199">
        <f>LARGE($AR$21:$AR$24,AL21)</f>
        <v>0</v>
      </c>
      <c r="AT21" s="580" t="s">
        <v>39</v>
      </c>
      <c r="AU21" s="197">
        <v>0.17</v>
      </c>
      <c r="AV21" s="222">
        <v>17</v>
      </c>
      <c r="AW21" s="197" t="str">
        <f t="shared" si="16"/>
        <v>França</v>
      </c>
      <c r="AX21" s="199">
        <f t="shared" si="17"/>
        <v>4</v>
      </c>
      <c r="AY21" s="197">
        <f t="shared" si="18"/>
        <v>40000.17</v>
      </c>
      <c r="AZ21" s="197">
        <f t="shared" si="19"/>
        <v>0.26</v>
      </c>
      <c r="BA21" s="199">
        <f t="shared" si="20"/>
        <v>26</v>
      </c>
      <c r="BB21" s="197" t="str">
        <f t="shared" si="21"/>
        <v>Polônia</v>
      </c>
      <c r="BC21" s="199">
        <f t="shared" si="22"/>
        <v>0</v>
      </c>
      <c r="BE21" s="197">
        <v>0.17</v>
      </c>
      <c r="BF21" s="222">
        <v>17</v>
      </c>
      <c r="BG21" s="197" t="str">
        <f t="shared" si="23"/>
        <v>França</v>
      </c>
      <c r="BH21" s="199">
        <f t="shared" si="24"/>
        <v>1</v>
      </c>
      <c r="BI21" s="197">
        <f t="shared" si="25"/>
        <v>10000.17</v>
      </c>
      <c r="BJ21" s="197">
        <f t="shared" si="26"/>
        <v>0.26</v>
      </c>
      <c r="BK21" s="199">
        <f t="shared" si="27"/>
        <v>26</v>
      </c>
      <c r="BL21" s="197" t="str">
        <f t="shared" si="28"/>
        <v>Polônia</v>
      </c>
      <c r="BM21" s="199">
        <f t="shared" si="29"/>
        <v>0</v>
      </c>
      <c r="BN21" s="197">
        <v>17</v>
      </c>
      <c r="BO21" s="197" t="str">
        <f t="shared" si="30"/>
        <v>França</v>
      </c>
      <c r="BP21" s="199">
        <f t="shared" si="31"/>
        <v>0</v>
      </c>
      <c r="BQ21" s="199">
        <f t="shared" si="32"/>
        <v>0</v>
      </c>
      <c r="BR21" s="199">
        <f t="shared" si="33"/>
        <v>0</v>
      </c>
      <c r="BS21" s="199">
        <f t="shared" si="34"/>
        <v>0</v>
      </c>
      <c r="BT21" s="199">
        <f t="shared" si="35"/>
        <v>0</v>
      </c>
      <c r="BU21" s="199">
        <f t="shared" si="36"/>
        <v>4</v>
      </c>
      <c r="BV21" s="199">
        <f t="shared" si="37"/>
        <v>1</v>
      </c>
      <c r="BW21" s="199">
        <f t="shared" si="38"/>
        <v>3</v>
      </c>
      <c r="BX21" s="197">
        <v>8.3000000000000004E-2</v>
      </c>
      <c r="BY21" s="204">
        <f t="shared" si="39"/>
        <v>30400.082999999999</v>
      </c>
      <c r="BZ21" s="204">
        <f>LARGE(BY$5:$BY$36,BN21)</f>
        <v>8.5000000000000006E-2</v>
      </c>
      <c r="CA21" s="203">
        <f t="shared" si="40"/>
        <v>15</v>
      </c>
      <c r="CB21" s="203" t="str">
        <f t="shared" si="9"/>
        <v>Espanha</v>
      </c>
      <c r="CC21" s="199" t="str">
        <f t="shared" si="42"/>
        <v>-</v>
      </c>
      <c r="CD21" s="207">
        <f t="shared" si="41"/>
        <v>30400</v>
      </c>
      <c r="CE21" s="203">
        <f>LARGE($CD$5:CD$36,BN21)</f>
        <v>0</v>
      </c>
    </row>
    <row r="22" spans="2:83" ht="15" x14ac:dyDescent="0.2">
      <c r="B22" s="584" t="s">
        <v>51</v>
      </c>
      <c r="C22" s="585"/>
      <c r="D22" s="212" t="s">
        <v>35</v>
      </c>
      <c r="E22" s="212" t="s">
        <v>36</v>
      </c>
      <c r="F22" s="212" t="s">
        <v>37</v>
      </c>
      <c r="G22" s="212" t="s">
        <v>38</v>
      </c>
      <c r="H22" s="212" t="s">
        <v>39</v>
      </c>
      <c r="I22" s="212" t="s">
        <v>40</v>
      </c>
      <c r="J22" s="212" t="s">
        <v>41</v>
      </c>
      <c r="K22" s="213" t="s">
        <v>42</v>
      </c>
      <c r="L22" s="197">
        <v>22</v>
      </c>
      <c r="M22" s="200" t="s">
        <v>8</v>
      </c>
      <c r="N22" s="197">
        <v>21</v>
      </c>
      <c r="O22" s="202" t="str">
        <f>Copa2022!E31</f>
        <v>Tunísia</v>
      </c>
      <c r="P22" s="202" t="str">
        <f>IF(Copa2022!F31="","",Copa2022!F31)</f>
        <v/>
      </c>
      <c r="Q22" s="202" t="str">
        <f>Copa2022!G31</f>
        <v>x</v>
      </c>
      <c r="R22" s="202" t="str">
        <f>IF(Copa2022!H31="","",Copa2022!H31)</f>
        <v/>
      </c>
      <c r="S22" s="202" t="str">
        <f>Copa2022!I31</f>
        <v>Austrália</v>
      </c>
      <c r="V22" s="197" t="b">
        <f t="shared" si="0"/>
        <v>0</v>
      </c>
      <c r="W22" s="199" t="str">
        <f t="shared" si="1"/>
        <v/>
      </c>
      <c r="X22" s="199" t="str">
        <f t="shared" si="2"/>
        <v/>
      </c>
      <c r="Y22" s="199" t="b">
        <f t="shared" si="3"/>
        <v>0</v>
      </c>
      <c r="Z22" s="199" t="b">
        <f t="shared" si="4"/>
        <v>0</v>
      </c>
      <c r="AA22" s="199"/>
      <c r="AB22" s="223">
        <v>2</v>
      </c>
      <c r="AC22" s="200" t="s">
        <v>160</v>
      </c>
      <c r="AD22" s="199">
        <f t="shared" si="10"/>
        <v>0</v>
      </c>
      <c r="AE22" s="199">
        <f t="shared" si="11"/>
        <v>0</v>
      </c>
      <c r="AF22" s="199">
        <f t="shared" si="12"/>
        <v>0</v>
      </c>
      <c r="AG22" s="199">
        <f t="shared" si="13"/>
        <v>0</v>
      </c>
      <c r="AH22" s="199">
        <f t="shared" si="14"/>
        <v>0</v>
      </c>
      <c r="AI22" s="199">
        <f t="shared" si="5"/>
        <v>0</v>
      </c>
      <c r="AJ22" s="199">
        <f t="shared" si="6"/>
        <v>0</v>
      </c>
      <c r="AK22" s="199">
        <f t="shared" si="7"/>
        <v>0</v>
      </c>
      <c r="AL22" s="224">
        <v>2</v>
      </c>
      <c r="AM22" s="203">
        <f t="shared" si="15"/>
        <v>2</v>
      </c>
      <c r="AN22" s="203">
        <f>LARGE($AM$21:$AM$24,AL22)</f>
        <v>3</v>
      </c>
      <c r="AO22" s="203">
        <f>MATCH(AN22,$AM$21:$AM$24,0)</f>
        <v>3</v>
      </c>
      <c r="AP22" s="203" t="str">
        <f>VLOOKUP(AO22,$AB$21:$AC$24,2)</f>
        <v>Espanha</v>
      </c>
      <c r="AQ22" s="199" t="str">
        <f>IF(AS21=AS22,"-",2)</f>
        <v>-</v>
      </c>
      <c r="AR22" s="207">
        <f t="shared" si="8"/>
        <v>0</v>
      </c>
      <c r="AS22" s="199">
        <f>LARGE($AR$21:$AR$24,AL22)</f>
        <v>0</v>
      </c>
      <c r="AT22" s="581"/>
      <c r="AU22" s="197">
        <v>0.18</v>
      </c>
      <c r="AV22" s="222">
        <v>18</v>
      </c>
      <c r="AW22" s="197" t="str">
        <f t="shared" si="16"/>
        <v>Gana</v>
      </c>
      <c r="AX22" s="199">
        <f t="shared" si="17"/>
        <v>0</v>
      </c>
      <c r="AY22" s="197">
        <f t="shared" si="18"/>
        <v>0.18</v>
      </c>
      <c r="AZ22" s="197">
        <f t="shared" si="19"/>
        <v>0.24</v>
      </c>
      <c r="BA22" s="199">
        <f t="shared" si="20"/>
        <v>24</v>
      </c>
      <c r="BB22" s="197" t="str">
        <f t="shared" si="21"/>
        <v>México</v>
      </c>
      <c r="BC22" s="199">
        <f t="shared" si="22"/>
        <v>0</v>
      </c>
      <c r="BE22" s="197">
        <v>0.18</v>
      </c>
      <c r="BF22" s="222">
        <v>18</v>
      </c>
      <c r="BG22" s="197" t="str">
        <f t="shared" si="23"/>
        <v>Gana</v>
      </c>
      <c r="BH22" s="199">
        <f t="shared" si="24"/>
        <v>0</v>
      </c>
      <c r="BI22" s="197">
        <f t="shared" si="25"/>
        <v>0.18</v>
      </c>
      <c r="BJ22" s="197">
        <f t="shared" si="26"/>
        <v>0.27</v>
      </c>
      <c r="BK22" s="199">
        <f t="shared" si="27"/>
        <v>27</v>
      </c>
      <c r="BL22" s="197" t="str">
        <f t="shared" si="28"/>
        <v>Portugal</v>
      </c>
      <c r="BM22" s="199">
        <f t="shared" si="29"/>
        <v>0</v>
      </c>
      <c r="BN22" s="197">
        <v>18</v>
      </c>
      <c r="BO22" s="197" t="str">
        <f t="shared" si="30"/>
        <v>Gana</v>
      </c>
      <c r="BP22" s="199">
        <f t="shared" si="31"/>
        <v>0</v>
      </c>
      <c r="BQ22" s="199">
        <f t="shared" si="32"/>
        <v>0</v>
      </c>
      <c r="BR22" s="199">
        <f t="shared" si="33"/>
        <v>0</v>
      </c>
      <c r="BS22" s="199">
        <f t="shared" si="34"/>
        <v>0</v>
      </c>
      <c r="BT22" s="199">
        <f t="shared" si="35"/>
        <v>0</v>
      </c>
      <c r="BU22" s="199">
        <f t="shared" si="36"/>
        <v>0</v>
      </c>
      <c r="BV22" s="199">
        <f t="shared" si="37"/>
        <v>0</v>
      </c>
      <c r="BW22" s="199">
        <f t="shared" si="38"/>
        <v>0</v>
      </c>
      <c r="BX22" s="197">
        <v>8.2000000000000003E-2</v>
      </c>
      <c r="BY22" s="204">
        <f t="shared" si="39"/>
        <v>8.2000000000000003E-2</v>
      </c>
      <c r="BZ22" s="204">
        <f>LARGE(BY$5:$BY$36,BN22)</f>
        <v>8.2000000000000003E-2</v>
      </c>
      <c r="CA22" s="203">
        <f t="shared" si="40"/>
        <v>18</v>
      </c>
      <c r="CB22" s="203" t="str">
        <f t="shared" si="9"/>
        <v>Gana</v>
      </c>
      <c r="CC22" s="199" t="str">
        <f t="shared" si="42"/>
        <v>-</v>
      </c>
      <c r="CD22" s="207">
        <f t="shared" si="41"/>
        <v>0</v>
      </c>
      <c r="CE22" s="203">
        <f>LARGE($CD$5:CD$36,BN22)</f>
        <v>0</v>
      </c>
    </row>
    <row r="23" spans="2:83" ht="15" x14ac:dyDescent="0.2">
      <c r="B23" s="214">
        <f>AQ17</f>
        <v>1</v>
      </c>
      <c r="C23" s="215" t="str">
        <f>AP17</f>
        <v>França</v>
      </c>
      <c r="D23" s="216">
        <f>VLOOKUP($AP17,$AC$17:$AK$20,2)</f>
        <v>3</v>
      </c>
      <c r="E23" s="216">
        <f>F23+G23+H23</f>
        <v>1</v>
      </c>
      <c r="F23" s="216">
        <f>VLOOKUP($AP17,$AC$17:$AK$20,4)</f>
        <v>1</v>
      </c>
      <c r="G23" s="216">
        <f>VLOOKUP($AP17,$AC$17:$AK$20,5)</f>
        <v>0</v>
      </c>
      <c r="H23" s="216">
        <f>VLOOKUP($AP17,$AC$17:$AK$20,6)</f>
        <v>0</v>
      </c>
      <c r="I23" s="216">
        <f>VLOOKUP($AP17,$AC$17:$AK$20,7)</f>
        <v>4</v>
      </c>
      <c r="J23" s="216">
        <f>VLOOKUP($AP17,$AC$17:$AK$20,8)</f>
        <v>1</v>
      </c>
      <c r="K23" s="217">
        <f>I23-J23</f>
        <v>3</v>
      </c>
      <c r="L23" s="197">
        <v>23</v>
      </c>
      <c r="M23" s="200" t="s">
        <v>126</v>
      </c>
      <c r="N23" s="197">
        <v>22</v>
      </c>
      <c r="O23" s="202" t="str">
        <f>Copa2022!E32</f>
        <v>França</v>
      </c>
      <c r="P23" s="202" t="str">
        <f>IF(Copa2022!F32="","",Copa2022!F32)</f>
        <v/>
      </c>
      <c r="Q23" s="202" t="str">
        <f>Copa2022!G32</f>
        <v>x</v>
      </c>
      <c r="R23" s="202" t="str">
        <f>IF(Copa2022!H32="","",Copa2022!H32)</f>
        <v/>
      </c>
      <c r="S23" s="202" t="str">
        <f>Copa2022!I32</f>
        <v>Dinamarca</v>
      </c>
      <c r="V23" s="197" t="b">
        <f t="shared" si="0"/>
        <v>0</v>
      </c>
      <c r="W23" s="199" t="str">
        <f t="shared" si="1"/>
        <v/>
      </c>
      <c r="X23" s="199" t="str">
        <f t="shared" si="2"/>
        <v/>
      </c>
      <c r="Y23" s="199" t="b">
        <f t="shared" si="3"/>
        <v>0</v>
      </c>
      <c r="Z23" s="199" t="b">
        <f t="shared" si="4"/>
        <v>0</v>
      </c>
      <c r="AA23" s="199"/>
      <c r="AB23" s="223">
        <v>3</v>
      </c>
      <c r="AC23" s="200" t="s">
        <v>11</v>
      </c>
      <c r="AD23" s="199">
        <f t="shared" si="10"/>
        <v>0</v>
      </c>
      <c r="AE23" s="199">
        <f t="shared" si="11"/>
        <v>0</v>
      </c>
      <c r="AF23" s="199">
        <f t="shared" si="12"/>
        <v>0</v>
      </c>
      <c r="AG23" s="199">
        <f t="shared" si="13"/>
        <v>0</v>
      </c>
      <c r="AH23" s="199">
        <f t="shared" si="14"/>
        <v>0</v>
      </c>
      <c r="AI23" s="199">
        <f t="shared" si="5"/>
        <v>0</v>
      </c>
      <c r="AJ23" s="199">
        <f t="shared" si="6"/>
        <v>0</v>
      </c>
      <c r="AK23" s="199">
        <f t="shared" si="7"/>
        <v>0</v>
      </c>
      <c r="AL23" s="224">
        <v>3</v>
      </c>
      <c r="AM23" s="203">
        <f t="shared" si="15"/>
        <v>3</v>
      </c>
      <c r="AN23" s="203">
        <f>LARGE($AM$21:$AM$24,AL23)</f>
        <v>2</v>
      </c>
      <c r="AO23" s="203">
        <f>MATCH(AN23,$AM$21:$AM$24,0)</f>
        <v>2</v>
      </c>
      <c r="AP23" s="203" t="str">
        <f>VLOOKUP(AO23,$AB$21:$AC$24,2)</f>
        <v>Costa Rica</v>
      </c>
      <c r="AQ23" s="199" t="str">
        <f>IF(AS22=AS23,"-",3)</f>
        <v>-</v>
      </c>
      <c r="AR23" s="207">
        <f t="shared" si="8"/>
        <v>0</v>
      </c>
      <c r="AS23" s="199">
        <f>LARGE($AR$21:$AR$24,AL23)</f>
        <v>0</v>
      </c>
      <c r="AT23" s="581"/>
      <c r="AU23" s="197">
        <v>0.19</v>
      </c>
      <c r="AV23" s="222">
        <v>19</v>
      </c>
      <c r="AW23" s="197" t="str">
        <f t="shared" si="16"/>
        <v>Holanda</v>
      </c>
      <c r="AX23" s="199">
        <f t="shared" si="17"/>
        <v>2</v>
      </c>
      <c r="AY23" s="197">
        <f t="shared" si="18"/>
        <v>20000.189999999999</v>
      </c>
      <c r="AZ23" s="197">
        <f t="shared" si="19"/>
        <v>0.23</v>
      </c>
      <c r="BA23" s="199">
        <f t="shared" si="20"/>
        <v>23</v>
      </c>
      <c r="BB23" s="197" t="str">
        <f t="shared" si="21"/>
        <v>Marrocos</v>
      </c>
      <c r="BC23" s="199">
        <f t="shared" si="22"/>
        <v>0</v>
      </c>
      <c r="BE23" s="197">
        <v>0.19</v>
      </c>
      <c r="BF23" s="222">
        <v>19</v>
      </c>
      <c r="BG23" s="197" t="str">
        <f t="shared" si="23"/>
        <v>Holanda</v>
      </c>
      <c r="BH23" s="199">
        <f t="shared" si="24"/>
        <v>0</v>
      </c>
      <c r="BI23" s="197">
        <f t="shared" si="25"/>
        <v>0.19</v>
      </c>
      <c r="BJ23" s="197">
        <f t="shared" si="26"/>
        <v>0.28999999999999998</v>
      </c>
      <c r="BK23" s="199">
        <f t="shared" si="27"/>
        <v>29</v>
      </c>
      <c r="BL23" s="197" t="str">
        <f t="shared" si="28"/>
        <v>Sérvia</v>
      </c>
      <c r="BM23" s="199">
        <f t="shared" si="29"/>
        <v>0</v>
      </c>
      <c r="BN23" s="197">
        <v>19</v>
      </c>
      <c r="BO23" s="197" t="str">
        <f t="shared" si="30"/>
        <v>Holanda</v>
      </c>
      <c r="BP23" s="199">
        <f t="shared" si="31"/>
        <v>0</v>
      </c>
      <c r="BQ23" s="199">
        <f t="shared" si="32"/>
        <v>0</v>
      </c>
      <c r="BR23" s="199">
        <f t="shared" si="33"/>
        <v>0</v>
      </c>
      <c r="BS23" s="199">
        <f t="shared" si="34"/>
        <v>0</v>
      </c>
      <c r="BT23" s="199">
        <f t="shared" si="35"/>
        <v>0</v>
      </c>
      <c r="BU23" s="199">
        <f t="shared" si="36"/>
        <v>2</v>
      </c>
      <c r="BV23" s="199">
        <f t="shared" si="37"/>
        <v>0</v>
      </c>
      <c r="BW23" s="199">
        <f t="shared" si="38"/>
        <v>2</v>
      </c>
      <c r="BX23" s="197">
        <v>8.1000000000000003E-2</v>
      </c>
      <c r="BY23" s="204">
        <f t="shared" si="39"/>
        <v>20200.080999999998</v>
      </c>
      <c r="BZ23" s="204">
        <f>LARGE(BY$5:$BY$36,BN23)</f>
        <v>7.8E-2</v>
      </c>
      <c r="CA23" s="203">
        <f t="shared" si="40"/>
        <v>22</v>
      </c>
      <c r="CB23" s="203" t="str">
        <f t="shared" si="9"/>
        <v>Japão</v>
      </c>
      <c r="CC23" s="199" t="str">
        <f t="shared" si="42"/>
        <v>-</v>
      </c>
      <c r="CD23" s="207">
        <f t="shared" si="41"/>
        <v>20200</v>
      </c>
      <c r="CE23" s="203">
        <f>LARGE($CD$5:CD$36,BN23)</f>
        <v>0</v>
      </c>
    </row>
    <row r="24" spans="2:83" ht="15" x14ac:dyDescent="0.2">
      <c r="B24" s="214">
        <f>AQ18</f>
        <v>2</v>
      </c>
      <c r="C24" s="215" t="str">
        <f>AP18</f>
        <v>Tunísia</v>
      </c>
      <c r="D24" s="216">
        <f>VLOOKUP($AP18,$AC$17:$AK$20,2)</f>
        <v>1</v>
      </c>
      <c r="E24" s="216">
        <f>F24+G24+H24</f>
        <v>1</v>
      </c>
      <c r="F24" s="216">
        <f>VLOOKUP($AP18,$AC$17:$AK$20,4)</f>
        <v>0</v>
      </c>
      <c r="G24" s="216">
        <f>VLOOKUP($AP18,$AC$17:$AK$20,5)</f>
        <v>0</v>
      </c>
      <c r="H24" s="216">
        <f>VLOOKUP($AP18,$AC$17:$AK$20,6)</f>
        <v>1</v>
      </c>
      <c r="I24" s="216">
        <f>VLOOKUP($AP18,$AC$17:$AK$20,7)</f>
        <v>0</v>
      </c>
      <c r="J24" s="216">
        <f>VLOOKUP($AP18,$AC$17:$AK$20,8)</f>
        <v>0</v>
      </c>
      <c r="K24" s="217">
        <f>I24-J24</f>
        <v>0</v>
      </c>
      <c r="L24" s="197">
        <v>24</v>
      </c>
      <c r="M24" s="200" t="s">
        <v>1</v>
      </c>
      <c r="N24" s="197">
        <v>23</v>
      </c>
      <c r="O24" s="202" t="str">
        <f>Copa2022!E33</f>
        <v>Tunísia</v>
      </c>
      <c r="P24" s="202" t="str">
        <f>IF(Copa2022!F33="","",Copa2022!F33)</f>
        <v/>
      </c>
      <c r="Q24" s="202" t="str">
        <f>Copa2022!G33</f>
        <v>x</v>
      </c>
      <c r="R24" s="202" t="str">
        <f>IF(Copa2022!H33="","",Copa2022!H33)</f>
        <v/>
      </c>
      <c r="S24" s="202" t="str">
        <f>Copa2022!I33</f>
        <v>França</v>
      </c>
      <c r="V24" s="197" t="b">
        <f t="shared" si="0"/>
        <v>0</v>
      </c>
      <c r="W24" s="199" t="str">
        <f t="shared" si="1"/>
        <v/>
      </c>
      <c r="X24" s="199" t="str">
        <f t="shared" si="2"/>
        <v/>
      </c>
      <c r="Y24" s="199" t="b">
        <f t="shared" si="3"/>
        <v>0</v>
      </c>
      <c r="Z24" s="199" t="b">
        <f t="shared" si="4"/>
        <v>0</v>
      </c>
      <c r="AA24" s="199"/>
      <c r="AB24" s="231">
        <v>4</v>
      </c>
      <c r="AC24" s="232" t="s">
        <v>8</v>
      </c>
      <c r="AD24" s="226">
        <f t="shared" si="10"/>
        <v>0</v>
      </c>
      <c r="AE24" s="226">
        <f t="shared" si="11"/>
        <v>0</v>
      </c>
      <c r="AF24" s="226">
        <f t="shared" si="12"/>
        <v>0</v>
      </c>
      <c r="AG24" s="226">
        <f t="shared" si="13"/>
        <v>0</v>
      </c>
      <c r="AH24" s="226">
        <f t="shared" si="14"/>
        <v>0</v>
      </c>
      <c r="AI24" s="226">
        <f t="shared" si="5"/>
        <v>0</v>
      </c>
      <c r="AJ24" s="226">
        <f t="shared" si="6"/>
        <v>0</v>
      </c>
      <c r="AK24" s="226">
        <f t="shared" si="7"/>
        <v>0</v>
      </c>
      <c r="AL24" s="233">
        <v>4</v>
      </c>
      <c r="AM24" s="203">
        <f t="shared" si="15"/>
        <v>4</v>
      </c>
      <c r="AN24" s="234">
        <f>LARGE($AM$21:$AM$24,AL24)</f>
        <v>1</v>
      </c>
      <c r="AO24" s="234">
        <f>MATCH(AN24,$AM$21:$AM$24,0)</f>
        <v>1</v>
      </c>
      <c r="AP24" s="234" t="str">
        <f>VLOOKUP(AO24,$AB$21:$AC$24,2)</f>
        <v>Alemanha</v>
      </c>
      <c r="AQ24" s="226" t="str">
        <f>IF(AS23=AS24,"-",4)</f>
        <v>-</v>
      </c>
      <c r="AR24" s="235">
        <f t="shared" si="8"/>
        <v>0</v>
      </c>
      <c r="AS24" s="226">
        <f>LARGE($AR$21:$AR$24,AL24)</f>
        <v>0</v>
      </c>
      <c r="AT24" s="582"/>
      <c r="AU24" s="197">
        <v>0.2</v>
      </c>
      <c r="AV24" s="222">
        <v>20</v>
      </c>
      <c r="AW24" s="197" t="str">
        <f t="shared" si="16"/>
        <v>Inglaterra</v>
      </c>
      <c r="AX24" s="199">
        <f t="shared" si="17"/>
        <v>6</v>
      </c>
      <c r="AY24" s="197">
        <f t="shared" si="18"/>
        <v>60000.2</v>
      </c>
      <c r="AZ24" s="197">
        <f t="shared" si="19"/>
        <v>0.22</v>
      </c>
      <c r="BA24" s="199">
        <f t="shared" si="20"/>
        <v>22</v>
      </c>
      <c r="BB24" s="197" t="str">
        <f t="shared" si="21"/>
        <v>Japão</v>
      </c>
      <c r="BC24" s="199">
        <f t="shared" si="22"/>
        <v>0</v>
      </c>
      <c r="BE24" s="197">
        <v>0.2</v>
      </c>
      <c r="BF24" s="222">
        <v>20</v>
      </c>
      <c r="BG24" s="197" t="str">
        <f t="shared" si="23"/>
        <v>Inglaterra</v>
      </c>
      <c r="BH24" s="199">
        <f t="shared" si="24"/>
        <v>2</v>
      </c>
      <c r="BI24" s="197">
        <f t="shared" si="25"/>
        <v>20000.2</v>
      </c>
      <c r="BJ24" s="197">
        <f t="shared" si="26"/>
        <v>0.3</v>
      </c>
      <c r="BK24" s="199">
        <f t="shared" si="27"/>
        <v>30</v>
      </c>
      <c r="BL24" s="197" t="str">
        <f t="shared" si="28"/>
        <v>Suíça</v>
      </c>
      <c r="BM24" s="199">
        <f t="shared" si="29"/>
        <v>0</v>
      </c>
      <c r="BN24" s="197">
        <v>20</v>
      </c>
      <c r="BO24" s="197" t="str">
        <f t="shared" si="30"/>
        <v>Inglaterra</v>
      </c>
      <c r="BP24" s="199">
        <f t="shared" si="31"/>
        <v>0</v>
      </c>
      <c r="BQ24" s="199">
        <f t="shared" si="32"/>
        <v>0</v>
      </c>
      <c r="BR24" s="199">
        <f t="shared" si="33"/>
        <v>0</v>
      </c>
      <c r="BS24" s="199">
        <f t="shared" si="34"/>
        <v>0</v>
      </c>
      <c r="BT24" s="199">
        <f t="shared" si="35"/>
        <v>0</v>
      </c>
      <c r="BU24" s="199">
        <f t="shared" si="36"/>
        <v>6</v>
      </c>
      <c r="BV24" s="199">
        <f t="shared" si="37"/>
        <v>2</v>
      </c>
      <c r="BW24" s="199">
        <f t="shared" si="38"/>
        <v>4</v>
      </c>
      <c r="BX24" s="197">
        <v>0.08</v>
      </c>
      <c r="BY24" s="204">
        <f t="shared" si="39"/>
        <v>40600.080000000002</v>
      </c>
      <c r="BZ24" s="204">
        <f>LARGE(BY$5:$BY$36,BN24)</f>
        <v>7.6999999999999999E-2</v>
      </c>
      <c r="CA24" s="203">
        <f t="shared" si="40"/>
        <v>23</v>
      </c>
      <c r="CB24" s="203" t="str">
        <f t="shared" si="9"/>
        <v>Marrocos</v>
      </c>
      <c r="CC24" s="199" t="str">
        <f t="shared" si="42"/>
        <v>-</v>
      </c>
      <c r="CD24" s="207">
        <f t="shared" si="41"/>
        <v>40600</v>
      </c>
      <c r="CE24" s="203">
        <f>LARGE($CD$5:CD$36,BN24)</f>
        <v>0</v>
      </c>
    </row>
    <row r="25" spans="2:83" ht="15" x14ac:dyDescent="0.2">
      <c r="B25" s="214" t="str">
        <f>AQ19</f>
        <v>-</v>
      </c>
      <c r="C25" s="215" t="str">
        <f>AP19</f>
        <v>Dinamarca</v>
      </c>
      <c r="D25" s="216">
        <f>VLOOKUP($AP19,$AC$17:$AK$20,2)</f>
        <v>1</v>
      </c>
      <c r="E25" s="216">
        <f>F25+G25+H25</f>
        <v>1</v>
      </c>
      <c r="F25" s="216">
        <f>VLOOKUP($AP19,$AC$17:$AK$20,4)</f>
        <v>0</v>
      </c>
      <c r="G25" s="216">
        <f>VLOOKUP($AP19,$AC$17:$AK$20,5)</f>
        <v>0</v>
      </c>
      <c r="H25" s="216">
        <f>VLOOKUP($AP19,$AC$17:$AK$20,6)</f>
        <v>1</v>
      </c>
      <c r="I25" s="216">
        <f>VLOOKUP($AP19,$AC$17:$AK$20,7)</f>
        <v>0</v>
      </c>
      <c r="J25" s="216">
        <f>VLOOKUP($AP19,$AC$17:$AK$20,8)</f>
        <v>0</v>
      </c>
      <c r="K25" s="217">
        <f>I25-J25</f>
        <v>0</v>
      </c>
      <c r="L25" s="197">
        <v>25</v>
      </c>
      <c r="M25" s="200" t="s">
        <v>158</v>
      </c>
      <c r="N25" s="197">
        <v>24</v>
      </c>
      <c r="O25" s="202" t="str">
        <f>Copa2022!E34</f>
        <v>Austrália</v>
      </c>
      <c r="P25" s="202" t="str">
        <f>IF(Copa2022!F34="","",Copa2022!F34)</f>
        <v/>
      </c>
      <c r="Q25" s="202" t="str">
        <f>Copa2022!G34</f>
        <v>x</v>
      </c>
      <c r="R25" s="202" t="str">
        <f>IF(Copa2022!H34="","",Copa2022!H34)</f>
        <v/>
      </c>
      <c r="S25" s="202" t="str">
        <f>Copa2022!I34</f>
        <v>Dinamarca</v>
      </c>
      <c r="V25" s="225" t="b">
        <f t="shared" si="0"/>
        <v>0</v>
      </c>
      <c r="W25" s="199" t="str">
        <f t="shared" si="1"/>
        <v/>
      </c>
      <c r="X25" s="199" t="str">
        <f t="shared" si="2"/>
        <v/>
      </c>
      <c r="Y25" s="199" t="b">
        <f t="shared" si="3"/>
        <v>0</v>
      </c>
      <c r="Z25" s="199" t="b">
        <f t="shared" si="4"/>
        <v>0</v>
      </c>
      <c r="AA25" s="226"/>
      <c r="AB25" s="218">
        <v>1</v>
      </c>
      <c r="AC25" s="219" t="s">
        <v>104</v>
      </c>
      <c r="AD25" s="220">
        <f t="shared" si="10"/>
        <v>0</v>
      </c>
      <c r="AE25" s="220">
        <f t="shared" si="11"/>
        <v>0</v>
      </c>
      <c r="AF25" s="220">
        <f t="shared" si="12"/>
        <v>0</v>
      </c>
      <c r="AG25" s="220">
        <f t="shared" si="13"/>
        <v>0</v>
      </c>
      <c r="AH25" s="220">
        <f t="shared" si="14"/>
        <v>0</v>
      </c>
      <c r="AI25" s="220">
        <f t="shared" si="5"/>
        <v>0</v>
      </c>
      <c r="AJ25" s="220">
        <f t="shared" si="6"/>
        <v>0</v>
      </c>
      <c r="AK25" s="220">
        <f t="shared" si="7"/>
        <v>0</v>
      </c>
      <c r="AL25" s="221">
        <v>1</v>
      </c>
      <c r="AM25" s="203">
        <f t="shared" si="15"/>
        <v>1</v>
      </c>
      <c r="AN25" s="203">
        <f>LARGE($AM$25:$AM$28,AL25)</f>
        <v>4</v>
      </c>
      <c r="AO25" s="203">
        <f>MATCH(AN25,$AM$25:$AM$28,0)</f>
        <v>4</v>
      </c>
      <c r="AP25" s="203" t="str">
        <f>VLOOKUP(AO25,$AB$25:$AC$28,2)</f>
        <v>Marrocos</v>
      </c>
      <c r="AQ25" s="199">
        <v>1</v>
      </c>
      <c r="AR25" s="207">
        <f t="shared" si="8"/>
        <v>0</v>
      </c>
      <c r="AS25" s="199">
        <f>LARGE($AR$25:$AR$28,AL25)</f>
        <v>0</v>
      </c>
      <c r="AT25" s="580" t="s">
        <v>52</v>
      </c>
      <c r="AU25" s="197">
        <v>0.21</v>
      </c>
      <c r="AV25" s="222">
        <v>21</v>
      </c>
      <c r="AW25" s="197" t="str">
        <f t="shared" si="16"/>
        <v>Irã</v>
      </c>
      <c r="AX25" s="199">
        <f t="shared" si="17"/>
        <v>2</v>
      </c>
      <c r="AY25" s="197">
        <f t="shared" si="18"/>
        <v>20000.21</v>
      </c>
      <c r="AZ25" s="197">
        <f t="shared" si="19"/>
        <v>0.18</v>
      </c>
      <c r="BA25" s="199">
        <f t="shared" si="20"/>
        <v>18</v>
      </c>
      <c r="BB25" s="197" t="str">
        <f t="shared" si="21"/>
        <v>Gana</v>
      </c>
      <c r="BC25" s="199">
        <f t="shared" si="22"/>
        <v>0</v>
      </c>
      <c r="BE25" s="197">
        <v>0.21</v>
      </c>
      <c r="BF25" s="222">
        <v>21</v>
      </c>
      <c r="BG25" s="197" t="str">
        <f t="shared" si="23"/>
        <v>Irã</v>
      </c>
      <c r="BH25" s="199">
        <f t="shared" si="24"/>
        <v>6</v>
      </c>
      <c r="BI25" s="197">
        <f t="shared" si="25"/>
        <v>60000.21</v>
      </c>
      <c r="BJ25" s="197">
        <f t="shared" si="26"/>
        <v>0.31</v>
      </c>
      <c r="BK25" s="199">
        <f t="shared" si="27"/>
        <v>31</v>
      </c>
      <c r="BL25" s="197" t="str">
        <f t="shared" si="28"/>
        <v>Tunísia</v>
      </c>
      <c r="BM25" s="199">
        <f t="shared" si="29"/>
        <v>0</v>
      </c>
      <c r="BN25" s="197">
        <v>21</v>
      </c>
      <c r="BO25" s="197" t="str">
        <f t="shared" si="30"/>
        <v>Irã</v>
      </c>
      <c r="BP25" s="199">
        <f t="shared" si="31"/>
        <v>0</v>
      </c>
      <c r="BQ25" s="199">
        <f t="shared" si="32"/>
        <v>0</v>
      </c>
      <c r="BR25" s="199">
        <f t="shared" si="33"/>
        <v>0</v>
      </c>
      <c r="BS25" s="199">
        <f t="shared" si="34"/>
        <v>0</v>
      </c>
      <c r="BT25" s="199">
        <f t="shared" si="35"/>
        <v>0</v>
      </c>
      <c r="BU25" s="199">
        <f t="shared" si="36"/>
        <v>2</v>
      </c>
      <c r="BV25" s="199">
        <f t="shared" si="37"/>
        <v>6</v>
      </c>
      <c r="BW25" s="199">
        <f t="shared" si="38"/>
        <v>-4</v>
      </c>
      <c r="BX25" s="197">
        <v>7.9000000000000001E-2</v>
      </c>
      <c r="BY25" s="204">
        <f t="shared" si="39"/>
        <v>-39799.921000000002</v>
      </c>
      <c r="BZ25" s="204">
        <f>LARGE(BY$5:$BY$36,BN25)</f>
        <v>7.5999999999999998E-2</v>
      </c>
      <c r="CA25" s="203">
        <f t="shared" si="40"/>
        <v>24</v>
      </c>
      <c r="CB25" s="203" t="str">
        <f t="shared" si="9"/>
        <v>México</v>
      </c>
      <c r="CC25" s="199" t="str">
        <f t="shared" si="42"/>
        <v>-</v>
      </c>
      <c r="CD25" s="207">
        <f t="shared" si="41"/>
        <v>-39800</v>
      </c>
      <c r="CE25" s="203">
        <f>LARGE($CD$5:CD$36,BN25)</f>
        <v>0</v>
      </c>
    </row>
    <row r="26" spans="2:83" ht="15" customHeight="1" thickBot="1" x14ac:dyDescent="0.25">
      <c r="B26" s="227">
        <f>AQ20</f>
        <v>4</v>
      </c>
      <c r="C26" s="228" t="str">
        <f>AP20</f>
        <v>Austrália</v>
      </c>
      <c r="D26" s="229">
        <f>VLOOKUP($AP20,$AC$17:$AK$20,2)</f>
        <v>0</v>
      </c>
      <c r="E26" s="229">
        <f>F26+G26+H26</f>
        <v>1</v>
      </c>
      <c r="F26" s="229">
        <f>VLOOKUP($AP20,$AC$17:$AK$20,4)</f>
        <v>0</v>
      </c>
      <c r="G26" s="229">
        <f>VLOOKUP($AP20,$AC$17:$AK$20,5)</f>
        <v>1</v>
      </c>
      <c r="H26" s="229">
        <f>VLOOKUP($AP20,$AC$17:$AK$20,6)</f>
        <v>0</v>
      </c>
      <c r="I26" s="229">
        <f>VLOOKUP($AP20,$AC$17:$AK$20,7)</f>
        <v>1</v>
      </c>
      <c r="J26" s="229">
        <f>VLOOKUP($AP20,$AC$17:$AK$20,8)</f>
        <v>4</v>
      </c>
      <c r="K26" s="230">
        <f>I26-J26</f>
        <v>-3</v>
      </c>
      <c r="L26" s="197">
        <v>26</v>
      </c>
      <c r="M26" s="200" t="s">
        <v>130</v>
      </c>
      <c r="N26" s="197">
        <v>25</v>
      </c>
      <c r="O26" s="202" t="str">
        <f>Copa2022!E35</f>
        <v>Alemanha</v>
      </c>
      <c r="P26" s="202" t="str">
        <f>IF(Copa2022!F35="","",Copa2022!F35)</f>
        <v/>
      </c>
      <c r="Q26" s="202" t="str">
        <f>Copa2022!G35</f>
        <v>x</v>
      </c>
      <c r="R26" s="202" t="str">
        <f>IF(Copa2022!H35="","",Copa2022!H35)</f>
        <v/>
      </c>
      <c r="S26" s="202" t="str">
        <f>Copa2022!I35</f>
        <v>Japão</v>
      </c>
      <c r="V26" s="197" t="b">
        <f t="shared" si="0"/>
        <v>0</v>
      </c>
      <c r="W26" s="199" t="str">
        <f t="shared" si="1"/>
        <v/>
      </c>
      <c r="X26" s="199" t="str">
        <f t="shared" si="2"/>
        <v/>
      </c>
      <c r="Y26" s="199" t="b">
        <f t="shared" si="3"/>
        <v>0</v>
      </c>
      <c r="Z26" s="199" t="b">
        <f t="shared" si="4"/>
        <v>0</v>
      </c>
      <c r="AA26" s="199"/>
      <c r="AB26" s="223">
        <v>2</v>
      </c>
      <c r="AC26" s="200" t="s">
        <v>150</v>
      </c>
      <c r="AD26" s="199">
        <f t="shared" si="10"/>
        <v>0</v>
      </c>
      <c r="AE26" s="199">
        <f t="shared" si="11"/>
        <v>0</v>
      </c>
      <c r="AF26" s="199">
        <f t="shared" si="12"/>
        <v>0</v>
      </c>
      <c r="AG26" s="199">
        <f t="shared" si="13"/>
        <v>0</v>
      </c>
      <c r="AH26" s="199">
        <f t="shared" si="14"/>
        <v>0</v>
      </c>
      <c r="AI26" s="199">
        <f t="shared" si="5"/>
        <v>0</v>
      </c>
      <c r="AJ26" s="199">
        <f t="shared" si="6"/>
        <v>0</v>
      </c>
      <c r="AK26" s="199">
        <f t="shared" si="7"/>
        <v>0</v>
      </c>
      <c r="AL26" s="224">
        <v>2</v>
      </c>
      <c r="AM26" s="203">
        <f t="shared" si="15"/>
        <v>2</v>
      </c>
      <c r="AN26" s="203">
        <f>LARGE($AM$25:$AM$28,AL26)</f>
        <v>3</v>
      </c>
      <c r="AO26" s="203">
        <f>MATCH(AN26,$AM$25:$AM$28,0)</f>
        <v>3</v>
      </c>
      <c r="AP26" s="203" t="str">
        <f>VLOOKUP(AO26,$AB$25:$AC$28,2)</f>
        <v>Croácia</v>
      </c>
      <c r="AQ26" s="199" t="str">
        <f>IF(AS25=AS26,"-",2)</f>
        <v>-</v>
      </c>
      <c r="AR26" s="207">
        <f t="shared" si="8"/>
        <v>0</v>
      </c>
      <c r="AS26" s="199">
        <f>LARGE($AR$25:$AR$28,AL26)</f>
        <v>0</v>
      </c>
      <c r="AT26" s="581"/>
      <c r="AU26" s="197">
        <v>0.22</v>
      </c>
      <c r="AV26" s="222">
        <v>22</v>
      </c>
      <c r="AW26" s="197" t="str">
        <f t="shared" si="16"/>
        <v>Japão</v>
      </c>
      <c r="AX26" s="199">
        <f t="shared" si="17"/>
        <v>0</v>
      </c>
      <c r="AY26" s="197">
        <f t="shared" si="18"/>
        <v>0.22</v>
      </c>
      <c r="AZ26" s="197">
        <f t="shared" si="19"/>
        <v>0.15</v>
      </c>
      <c r="BA26" s="199">
        <f t="shared" si="20"/>
        <v>15</v>
      </c>
      <c r="BB26" s="197" t="str">
        <f t="shared" si="21"/>
        <v>Espanha</v>
      </c>
      <c r="BC26" s="199">
        <f t="shared" si="22"/>
        <v>0</v>
      </c>
      <c r="BE26" s="197">
        <v>0.22</v>
      </c>
      <c r="BF26" s="222">
        <v>22</v>
      </c>
      <c r="BG26" s="197" t="str">
        <f t="shared" si="23"/>
        <v>Japão</v>
      </c>
      <c r="BH26" s="199">
        <f t="shared" si="24"/>
        <v>0</v>
      </c>
      <c r="BI26" s="197">
        <f t="shared" si="25"/>
        <v>0.22</v>
      </c>
      <c r="BJ26" s="197">
        <f t="shared" si="26"/>
        <v>0.32</v>
      </c>
      <c r="BK26" s="199">
        <f t="shared" si="27"/>
        <v>32</v>
      </c>
      <c r="BL26" s="197" t="str">
        <f t="shared" si="28"/>
        <v>Uruguai</v>
      </c>
      <c r="BM26" s="199">
        <f t="shared" si="29"/>
        <v>0</v>
      </c>
      <c r="BN26" s="197">
        <v>22</v>
      </c>
      <c r="BO26" s="197" t="str">
        <f t="shared" si="30"/>
        <v>Japão</v>
      </c>
      <c r="BP26" s="199">
        <f t="shared" si="31"/>
        <v>0</v>
      </c>
      <c r="BQ26" s="199">
        <f t="shared" si="32"/>
        <v>0</v>
      </c>
      <c r="BR26" s="199">
        <f t="shared" si="33"/>
        <v>0</v>
      </c>
      <c r="BS26" s="199">
        <f t="shared" si="34"/>
        <v>0</v>
      </c>
      <c r="BT26" s="199">
        <f t="shared" si="35"/>
        <v>0</v>
      </c>
      <c r="BU26" s="199">
        <f t="shared" si="36"/>
        <v>0</v>
      </c>
      <c r="BV26" s="199">
        <f t="shared" si="37"/>
        <v>0</v>
      </c>
      <c r="BW26" s="199">
        <f t="shared" si="38"/>
        <v>0</v>
      </c>
      <c r="BX26" s="197">
        <v>7.8E-2</v>
      </c>
      <c r="BY26" s="204">
        <f t="shared" si="39"/>
        <v>7.8E-2</v>
      </c>
      <c r="BZ26" s="204">
        <f>LARGE(BY$5:$BY$36,BN26)</f>
        <v>7.3999999999999996E-2</v>
      </c>
      <c r="CA26" s="203">
        <f t="shared" si="40"/>
        <v>26</v>
      </c>
      <c r="CB26" s="203" t="str">
        <f t="shared" si="9"/>
        <v>Polônia</v>
      </c>
      <c r="CC26" s="199" t="str">
        <f t="shared" si="42"/>
        <v>-</v>
      </c>
      <c r="CD26" s="207">
        <f t="shared" si="41"/>
        <v>0</v>
      </c>
      <c r="CE26" s="203">
        <f>LARGE($CD$5:CD$36,BN26)</f>
        <v>0</v>
      </c>
    </row>
    <row r="27" spans="2:83" ht="15.75" thickBot="1" x14ac:dyDescent="0.25">
      <c r="B27" s="236"/>
      <c r="C27" s="241"/>
      <c r="D27" s="236"/>
      <c r="E27" s="236">
        <f>SUM(E23:E26)</f>
        <v>4</v>
      </c>
      <c r="F27" s="236"/>
      <c r="G27" s="236"/>
      <c r="H27" s="236"/>
      <c r="I27" s="236"/>
      <c r="J27" s="236"/>
      <c r="K27" s="236"/>
      <c r="L27" s="197">
        <v>27</v>
      </c>
      <c r="M27" s="200" t="s">
        <v>9</v>
      </c>
      <c r="N27" s="197">
        <v>26</v>
      </c>
      <c r="O27" s="202" t="str">
        <f>Copa2022!E36</f>
        <v>Espanha</v>
      </c>
      <c r="P27" s="202" t="str">
        <f>IF(Copa2022!F36="","",Copa2022!F36)</f>
        <v/>
      </c>
      <c r="Q27" s="202" t="str">
        <f>Copa2022!G36</f>
        <v>x</v>
      </c>
      <c r="R27" s="202" t="str">
        <f>IF(Copa2022!H36="","",Copa2022!H36)</f>
        <v/>
      </c>
      <c r="S27" s="202" t="str">
        <f>Copa2022!I36</f>
        <v>Costa Rica</v>
      </c>
      <c r="V27" s="197" t="b">
        <f t="shared" si="0"/>
        <v>0</v>
      </c>
      <c r="W27" s="199" t="str">
        <f t="shared" si="1"/>
        <v/>
      </c>
      <c r="X27" s="199" t="str">
        <f t="shared" si="2"/>
        <v/>
      </c>
      <c r="Y27" s="199" t="b">
        <f t="shared" si="3"/>
        <v>0</v>
      </c>
      <c r="Z27" s="199" t="b">
        <f t="shared" si="4"/>
        <v>0</v>
      </c>
      <c r="AA27" s="199"/>
      <c r="AB27" s="223">
        <v>3</v>
      </c>
      <c r="AC27" s="200" t="s">
        <v>70</v>
      </c>
      <c r="AD27" s="199">
        <f t="shared" si="10"/>
        <v>0</v>
      </c>
      <c r="AE27" s="199">
        <f t="shared" si="11"/>
        <v>0</v>
      </c>
      <c r="AF27" s="199">
        <f t="shared" si="12"/>
        <v>0</v>
      </c>
      <c r="AG27" s="199">
        <f t="shared" si="13"/>
        <v>0</v>
      </c>
      <c r="AH27" s="199">
        <f t="shared" si="14"/>
        <v>0</v>
      </c>
      <c r="AI27" s="199">
        <f t="shared" si="5"/>
        <v>0</v>
      </c>
      <c r="AJ27" s="199">
        <f t="shared" si="6"/>
        <v>0</v>
      </c>
      <c r="AK27" s="199">
        <f t="shared" si="7"/>
        <v>0</v>
      </c>
      <c r="AL27" s="224">
        <v>3</v>
      </c>
      <c r="AM27" s="203">
        <f t="shared" si="15"/>
        <v>3</v>
      </c>
      <c r="AN27" s="203">
        <f>LARGE($AM$25:$AM$28,AL27)</f>
        <v>2</v>
      </c>
      <c r="AO27" s="203">
        <f>MATCH(AN27,$AM$25:$AM$28,0)</f>
        <v>2</v>
      </c>
      <c r="AP27" s="203" t="str">
        <f>VLOOKUP(AO27,$AB$25:$AC$28,2)</f>
        <v>Canadá</v>
      </c>
      <c r="AQ27" s="199" t="str">
        <f>IF(AS26=AS27,"-",3)</f>
        <v>-</v>
      </c>
      <c r="AR27" s="207">
        <f t="shared" si="8"/>
        <v>0</v>
      </c>
      <c r="AS27" s="199">
        <f>LARGE($AR$25:$AR$28,AL27)</f>
        <v>0</v>
      </c>
      <c r="AT27" s="581"/>
      <c r="AU27" s="197">
        <v>0.23</v>
      </c>
      <c r="AV27" s="222">
        <v>23</v>
      </c>
      <c r="AW27" s="197" t="str">
        <f t="shared" si="16"/>
        <v>Marrocos</v>
      </c>
      <c r="AX27" s="199">
        <f t="shared" si="17"/>
        <v>0</v>
      </c>
      <c r="AY27" s="197">
        <f t="shared" si="18"/>
        <v>0.23</v>
      </c>
      <c r="AZ27" s="197">
        <f t="shared" si="19"/>
        <v>0.13</v>
      </c>
      <c r="BA27" s="199">
        <f t="shared" si="20"/>
        <v>13</v>
      </c>
      <c r="BB27" s="197" t="str">
        <f t="shared" si="21"/>
        <v>Dinamarca</v>
      </c>
      <c r="BC27" s="199">
        <f t="shared" si="22"/>
        <v>0</v>
      </c>
      <c r="BE27" s="197">
        <v>0.23</v>
      </c>
      <c r="BF27" s="222">
        <v>23</v>
      </c>
      <c r="BG27" s="197" t="str">
        <f t="shared" si="23"/>
        <v>Marrocos</v>
      </c>
      <c r="BH27" s="199">
        <f t="shared" si="24"/>
        <v>0</v>
      </c>
      <c r="BI27" s="197">
        <f t="shared" si="25"/>
        <v>0.23</v>
      </c>
      <c r="BJ27" s="197">
        <f t="shared" si="26"/>
        <v>10000.02</v>
      </c>
      <c r="BK27" s="199">
        <f t="shared" si="27"/>
        <v>2</v>
      </c>
      <c r="BL27" s="197" t="str">
        <f t="shared" si="28"/>
        <v>Arábia Saudita</v>
      </c>
      <c r="BM27" s="199">
        <f t="shared" si="29"/>
        <v>1</v>
      </c>
      <c r="BN27" s="197">
        <v>23</v>
      </c>
      <c r="BO27" s="197" t="str">
        <f t="shared" si="30"/>
        <v>Marrocos</v>
      </c>
      <c r="BP27" s="199">
        <f t="shared" si="31"/>
        <v>0</v>
      </c>
      <c r="BQ27" s="199">
        <f t="shared" si="32"/>
        <v>0</v>
      </c>
      <c r="BR27" s="199">
        <f t="shared" si="33"/>
        <v>0</v>
      </c>
      <c r="BS27" s="199">
        <f t="shared" si="34"/>
        <v>0</v>
      </c>
      <c r="BT27" s="199">
        <f t="shared" si="35"/>
        <v>0</v>
      </c>
      <c r="BU27" s="199">
        <f t="shared" si="36"/>
        <v>0</v>
      </c>
      <c r="BV27" s="199">
        <f t="shared" si="37"/>
        <v>0</v>
      </c>
      <c r="BW27" s="199">
        <f t="shared" si="38"/>
        <v>0</v>
      </c>
      <c r="BX27" s="197">
        <v>7.6999999999999999E-2</v>
      </c>
      <c r="BY27" s="204">
        <f t="shared" si="39"/>
        <v>7.6999999999999999E-2</v>
      </c>
      <c r="BZ27" s="204">
        <f>LARGE(BY$5:$BY$36,BN27)</f>
        <v>7.2999999999999995E-2</v>
      </c>
      <c r="CA27" s="203">
        <f t="shared" si="40"/>
        <v>27</v>
      </c>
      <c r="CB27" s="203" t="str">
        <f t="shared" si="9"/>
        <v>Portugal</v>
      </c>
      <c r="CC27" s="199" t="str">
        <f t="shared" si="42"/>
        <v>-</v>
      </c>
      <c r="CD27" s="207">
        <f t="shared" si="41"/>
        <v>0</v>
      </c>
      <c r="CE27" s="203">
        <f>LARGE($CD$5:CD$36,BN27)</f>
        <v>0</v>
      </c>
    </row>
    <row r="28" spans="2:83" ht="15" x14ac:dyDescent="0.2">
      <c r="B28" s="584" t="s">
        <v>53</v>
      </c>
      <c r="C28" s="585"/>
      <c r="D28" s="212" t="s">
        <v>35</v>
      </c>
      <c r="E28" s="212" t="s">
        <v>36</v>
      </c>
      <c r="F28" s="212" t="s">
        <v>37</v>
      </c>
      <c r="G28" s="212" t="s">
        <v>38</v>
      </c>
      <c r="H28" s="212" t="s">
        <v>39</v>
      </c>
      <c r="I28" s="212" t="s">
        <v>40</v>
      </c>
      <c r="J28" s="212" t="s">
        <v>41</v>
      </c>
      <c r="K28" s="213" t="s">
        <v>42</v>
      </c>
      <c r="L28" s="197">
        <v>28</v>
      </c>
      <c r="M28" s="200" t="s">
        <v>131</v>
      </c>
      <c r="N28" s="197">
        <v>27</v>
      </c>
      <c r="O28" s="202" t="str">
        <f>Copa2022!E37</f>
        <v>Japão</v>
      </c>
      <c r="P28" s="202" t="str">
        <f>IF(Copa2022!F37="","",Copa2022!F37)</f>
        <v/>
      </c>
      <c r="Q28" s="202" t="str">
        <f>Copa2022!G37</f>
        <v>x</v>
      </c>
      <c r="R28" s="202" t="str">
        <f>IF(Copa2022!H37="","",Copa2022!H37)</f>
        <v/>
      </c>
      <c r="S28" s="202" t="str">
        <f>Copa2022!I37</f>
        <v>Costa Rica</v>
      </c>
      <c r="V28" s="197" t="b">
        <f t="shared" si="0"/>
        <v>0</v>
      </c>
      <c r="W28" s="199" t="str">
        <f t="shared" si="1"/>
        <v/>
      </c>
      <c r="X28" s="199" t="str">
        <f t="shared" si="2"/>
        <v/>
      </c>
      <c r="Y28" s="199" t="b">
        <f t="shared" si="3"/>
        <v>0</v>
      </c>
      <c r="Z28" s="199" t="b">
        <f t="shared" si="4"/>
        <v>0</v>
      </c>
      <c r="AA28" s="199"/>
      <c r="AB28" s="231">
        <v>4</v>
      </c>
      <c r="AC28" s="232" t="s">
        <v>126</v>
      </c>
      <c r="AD28" s="226">
        <f t="shared" si="10"/>
        <v>0</v>
      </c>
      <c r="AE28" s="226">
        <f t="shared" si="11"/>
        <v>0</v>
      </c>
      <c r="AF28" s="226">
        <f t="shared" si="12"/>
        <v>0</v>
      </c>
      <c r="AG28" s="226">
        <f t="shared" si="13"/>
        <v>0</v>
      </c>
      <c r="AH28" s="226">
        <f t="shared" si="14"/>
        <v>0</v>
      </c>
      <c r="AI28" s="226">
        <f t="shared" si="5"/>
        <v>0</v>
      </c>
      <c r="AJ28" s="226">
        <f t="shared" si="6"/>
        <v>0</v>
      </c>
      <c r="AK28" s="226">
        <f t="shared" si="7"/>
        <v>0</v>
      </c>
      <c r="AL28" s="233">
        <v>4</v>
      </c>
      <c r="AM28" s="203">
        <f t="shared" si="15"/>
        <v>4</v>
      </c>
      <c r="AN28" s="234">
        <f>LARGE($AM$25:$AM$28,AL28)</f>
        <v>1</v>
      </c>
      <c r="AO28" s="234">
        <f>MATCH(AN28,$AM$25:$AM$28,0)</f>
        <v>1</v>
      </c>
      <c r="AP28" s="234" t="str">
        <f>VLOOKUP(AO28,$AB$25:$AC$28,2)</f>
        <v>Bélgica</v>
      </c>
      <c r="AQ28" s="226" t="str">
        <f>IF(AS27=AS28,"-",4)</f>
        <v>-</v>
      </c>
      <c r="AR28" s="235">
        <f t="shared" si="8"/>
        <v>0</v>
      </c>
      <c r="AS28" s="226">
        <f>LARGE($AR$25:$AR$28,AL28)</f>
        <v>0</v>
      </c>
      <c r="AT28" s="582"/>
      <c r="AU28" s="197">
        <v>0.24</v>
      </c>
      <c r="AV28" s="222">
        <v>24</v>
      </c>
      <c r="AW28" s="197" t="str">
        <f t="shared" si="16"/>
        <v>México</v>
      </c>
      <c r="AX28" s="199">
        <f t="shared" si="17"/>
        <v>0</v>
      </c>
      <c r="AY28" s="197">
        <f t="shared" si="18"/>
        <v>0.24</v>
      </c>
      <c r="AZ28" s="197">
        <f t="shared" si="19"/>
        <v>0.12</v>
      </c>
      <c r="BA28" s="199">
        <f t="shared" si="20"/>
        <v>12</v>
      </c>
      <c r="BB28" s="197" t="str">
        <f t="shared" si="21"/>
        <v>Croácia</v>
      </c>
      <c r="BC28" s="199">
        <f t="shared" si="22"/>
        <v>0</v>
      </c>
      <c r="BE28" s="197">
        <v>0.24</v>
      </c>
      <c r="BF28" s="222">
        <v>24</v>
      </c>
      <c r="BG28" s="197" t="str">
        <f t="shared" si="23"/>
        <v>México</v>
      </c>
      <c r="BH28" s="199">
        <f t="shared" si="24"/>
        <v>0</v>
      </c>
      <c r="BI28" s="197">
        <f t="shared" si="25"/>
        <v>0.24</v>
      </c>
      <c r="BJ28" s="197">
        <f t="shared" si="26"/>
        <v>10000.16</v>
      </c>
      <c r="BK28" s="199">
        <f t="shared" si="27"/>
        <v>16</v>
      </c>
      <c r="BL28" s="197" t="str">
        <f t="shared" si="28"/>
        <v>Estados Unidos</v>
      </c>
      <c r="BM28" s="199">
        <f t="shared" si="29"/>
        <v>1</v>
      </c>
      <c r="BN28" s="197">
        <v>24</v>
      </c>
      <c r="BO28" s="197" t="str">
        <f t="shared" si="30"/>
        <v>México</v>
      </c>
      <c r="BP28" s="199">
        <f t="shared" si="31"/>
        <v>0</v>
      </c>
      <c r="BQ28" s="199">
        <f t="shared" si="32"/>
        <v>0</v>
      </c>
      <c r="BR28" s="199">
        <f t="shared" si="33"/>
        <v>0</v>
      </c>
      <c r="BS28" s="199">
        <f t="shared" si="34"/>
        <v>0</v>
      </c>
      <c r="BT28" s="199">
        <f t="shared" si="35"/>
        <v>0</v>
      </c>
      <c r="BU28" s="199">
        <f t="shared" si="36"/>
        <v>0</v>
      </c>
      <c r="BV28" s="199">
        <f t="shared" si="37"/>
        <v>0</v>
      </c>
      <c r="BW28" s="199">
        <f t="shared" si="38"/>
        <v>0</v>
      </c>
      <c r="BX28" s="197">
        <v>7.5999999999999998E-2</v>
      </c>
      <c r="BY28" s="204">
        <f t="shared" si="39"/>
        <v>7.5999999999999998E-2</v>
      </c>
      <c r="BZ28" s="204">
        <f>LARGE(BY$5:$BY$36,BN28)</f>
        <v>7.0999999999999994E-2</v>
      </c>
      <c r="CA28" s="203">
        <f t="shared" si="40"/>
        <v>29</v>
      </c>
      <c r="CB28" s="203" t="str">
        <f t="shared" si="9"/>
        <v>Sérvia</v>
      </c>
      <c r="CC28" s="199" t="str">
        <f t="shared" si="42"/>
        <v>-</v>
      </c>
      <c r="CD28" s="207">
        <f t="shared" si="41"/>
        <v>0</v>
      </c>
      <c r="CE28" s="203">
        <f>LARGE($CD$5:CD$36,BN28)</f>
        <v>0</v>
      </c>
    </row>
    <row r="29" spans="2:83" ht="15" x14ac:dyDescent="0.2">
      <c r="B29" s="214">
        <f>AQ21</f>
        <v>1</v>
      </c>
      <c r="C29" s="215" t="str">
        <f>AP21</f>
        <v>Japão</v>
      </c>
      <c r="D29" s="216">
        <f>3*F29+H29</f>
        <v>0</v>
      </c>
      <c r="E29" s="216">
        <f>F29+G29+H29</f>
        <v>0</v>
      </c>
      <c r="F29" s="216">
        <f>VLOOKUP($AP21,$AC$21:$AK$24,4)</f>
        <v>0</v>
      </c>
      <c r="G29" s="216">
        <f>VLOOKUP($AP21,$AC$21:$AK$24,5)</f>
        <v>0</v>
      </c>
      <c r="H29" s="216">
        <f>VLOOKUP($AP21,$AC$21:$AK$24,6)</f>
        <v>0</v>
      </c>
      <c r="I29" s="216">
        <f>VLOOKUP($AP21,$AC$21:$AK$24,7)</f>
        <v>0</v>
      </c>
      <c r="J29" s="216">
        <f>VLOOKUP($AP21,$AC$21:$AK$24,8)</f>
        <v>0</v>
      </c>
      <c r="K29" s="217">
        <f>I29-J29</f>
        <v>0</v>
      </c>
      <c r="L29" s="197">
        <v>29</v>
      </c>
      <c r="M29" s="200" t="s">
        <v>128</v>
      </c>
      <c r="N29" s="197">
        <v>28</v>
      </c>
      <c r="O29" s="202" t="str">
        <f>Copa2022!E38</f>
        <v>Espanha</v>
      </c>
      <c r="P29" s="202" t="str">
        <f>IF(Copa2022!F38="","",Copa2022!F38)</f>
        <v/>
      </c>
      <c r="Q29" s="202" t="str">
        <f>Copa2022!G38</f>
        <v>x</v>
      </c>
      <c r="R29" s="202" t="str">
        <f>IF(Copa2022!H38="","",Copa2022!H38)</f>
        <v/>
      </c>
      <c r="S29" s="202" t="str">
        <f>Copa2022!I38</f>
        <v>Alemanha</v>
      </c>
      <c r="V29" s="197" t="b">
        <f t="shared" si="0"/>
        <v>0</v>
      </c>
      <c r="W29" s="199" t="str">
        <f t="shared" si="1"/>
        <v/>
      </c>
      <c r="X29" s="199" t="str">
        <f t="shared" si="2"/>
        <v/>
      </c>
      <c r="Y29" s="199" t="b">
        <f t="shared" si="3"/>
        <v>0</v>
      </c>
      <c r="Z29" s="199" t="b">
        <f t="shared" si="4"/>
        <v>0</v>
      </c>
      <c r="AA29" s="199"/>
      <c r="AB29" s="197">
        <v>1</v>
      </c>
      <c r="AC29" s="200" t="s">
        <v>10</v>
      </c>
      <c r="AD29" s="199">
        <f t="shared" si="10"/>
        <v>0</v>
      </c>
      <c r="AE29" s="199">
        <f t="shared" si="11"/>
        <v>0</v>
      </c>
      <c r="AF29" s="199">
        <f t="shared" si="12"/>
        <v>0</v>
      </c>
      <c r="AG29" s="199">
        <f t="shared" si="13"/>
        <v>0</v>
      </c>
      <c r="AH29" s="199">
        <f t="shared" si="14"/>
        <v>0</v>
      </c>
      <c r="AI29" s="199">
        <f t="shared" si="5"/>
        <v>0</v>
      </c>
      <c r="AJ29" s="199">
        <f t="shared" si="6"/>
        <v>0</v>
      </c>
      <c r="AK29" s="199">
        <f t="shared" si="7"/>
        <v>0</v>
      </c>
      <c r="AL29" s="197">
        <v>1</v>
      </c>
      <c r="AM29" s="203">
        <f t="shared" si="15"/>
        <v>1</v>
      </c>
      <c r="AN29" s="238">
        <f>LARGE($AM$29:$AM$32,AL29)</f>
        <v>4</v>
      </c>
      <c r="AO29" s="238">
        <f>MATCH(AN29,$AM$29:$AM$32,0)</f>
        <v>4</v>
      </c>
      <c r="AP29" s="238" t="str">
        <f>VLOOKUP(AO29,$AB$29:$AC$32,2)</f>
        <v>Suíça</v>
      </c>
      <c r="AQ29" s="239">
        <v>1</v>
      </c>
      <c r="AR29" s="240">
        <f t="shared" si="8"/>
        <v>0</v>
      </c>
      <c r="AS29" s="239">
        <f>LARGE($AR$29:$AR$32,AL29)</f>
        <v>0</v>
      </c>
      <c r="AT29" s="580" t="s">
        <v>54</v>
      </c>
      <c r="AU29" s="197">
        <v>0.25</v>
      </c>
      <c r="AV29" s="222">
        <v>25</v>
      </c>
      <c r="AW29" s="197" t="str">
        <f t="shared" si="16"/>
        <v>País de Gales</v>
      </c>
      <c r="AX29" s="199">
        <f t="shared" si="17"/>
        <v>1</v>
      </c>
      <c r="AY29" s="197">
        <f t="shared" si="18"/>
        <v>10000.25</v>
      </c>
      <c r="AZ29" s="197">
        <f t="shared" si="19"/>
        <v>0.11</v>
      </c>
      <c r="BA29" s="199">
        <f t="shared" si="20"/>
        <v>11</v>
      </c>
      <c r="BB29" s="197" t="str">
        <f t="shared" si="21"/>
        <v>Costa Rica</v>
      </c>
      <c r="BC29" s="199">
        <f t="shared" si="22"/>
        <v>0</v>
      </c>
      <c r="BE29" s="197">
        <v>0.25</v>
      </c>
      <c r="BF29" s="222">
        <v>25</v>
      </c>
      <c r="BG29" s="197" t="str">
        <f t="shared" si="23"/>
        <v>País de Gales</v>
      </c>
      <c r="BH29" s="199">
        <f t="shared" si="24"/>
        <v>1</v>
      </c>
      <c r="BI29" s="197">
        <f t="shared" si="25"/>
        <v>10000.25</v>
      </c>
      <c r="BJ29" s="197">
        <f t="shared" si="26"/>
        <v>10000.17</v>
      </c>
      <c r="BK29" s="199">
        <f t="shared" si="27"/>
        <v>17</v>
      </c>
      <c r="BL29" s="197" t="str">
        <f t="shared" si="28"/>
        <v>França</v>
      </c>
      <c r="BM29" s="199">
        <f t="shared" si="29"/>
        <v>1</v>
      </c>
      <c r="BN29" s="197">
        <v>25</v>
      </c>
      <c r="BO29" s="197" t="str">
        <f t="shared" si="30"/>
        <v>País de Gales</v>
      </c>
      <c r="BP29" s="199">
        <f t="shared" si="31"/>
        <v>0</v>
      </c>
      <c r="BQ29" s="199">
        <f t="shared" si="32"/>
        <v>0</v>
      </c>
      <c r="BR29" s="199">
        <f t="shared" si="33"/>
        <v>0</v>
      </c>
      <c r="BS29" s="199">
        <f t="shared" si="34"/>
        <v>0</v>
      </c>
      <c r="BT29" s="199">
        <f t="shared" si="35"/>
        <v>0</v>
      </c>
      <c r="BU29" s="199">
        <f t="shared" si="36"/>
        <v>1</v>
      </c>
      <c r="BV29" s="199">
        <f t="shared" si="37"/>
        <v>1</v>
      </c>
      <c r="BW29" s="199">
        <f t="shared" si="38"/>
        <v>0</v>
      </c>
      <c r="BX29" s="197">
        <v>7.4999999999999997E-2</v>
      </c>
      <c r="BY29" s="204">
        <f t="shared" si="39"/>
        <v>100.075</v>
      </c>
      <c r="BZ29" s="204">
        <f>LARGE(BY$5:$BY$36,BN29)</f>
        <v>7.0000000000000007E-2</v>
      </c>
      <c r="CA29" s="203">
        <f t="shared" si="40"/>
        <v>30</v>
      </c>
      <c r="CB29" s="203" t="str">
        <f t="shared" si="9"/>
        <v>Suíça</v>
      </c>
      <c r="CC29" s="199" t="str">
        <f t="shared" si="42"/>
        <v>-</v>
      </c>
      <c r="CD29" s="207">
        <f t="shared" si="41"/>
        <v>100</v>
      </c>
      <c r="CE29" s="203">
        <f>LARGE($CD$5:CD$36,BN29)</f>
        <v>0</v>
      </c>
    </row>
    <row r="30" spans="2:83" ht="15" customHeight="1" x14ac:dyDescent="0.2">
      <c r="B30" s="214" t="str">
        <f>AQ22</f>
        <v>-</v>
      </c>
      <c r="C30" s="215" t="str">
        <f>AP22</f>
        <v>Espanha</v>
      </c>
      <c r="D30" s="216">
        <f>3*F30+H30</f>
        <v>0</v>
      </c>
      <c r="E30" s="216">
        <f>F30+G30+H30</f>
        <v>0</v>
      </c>
      <c r="F30" s="216">
        <f>VLOOKUP($AP22,$AC$21:$AK$24,4)</f>
        <v>0</v>
      </c>
      <c r="G30" s="216">
        <f>VLOOKUP($AP22,$AC$21:$AK$24,5)</f>
        <v>0</v>
      </c>
      <c r="H30" s="216">
        <f>VLOOKUP($AP22,$AC$21:$AK$24,6)</f>
        <v>0</v>
      </c>
      <c r="I30" s="216">
        <f>VLOOKUP($AP22,$AC$21:$AK$24,7)</f>
        <v>0</v>
      </c>
      <c r="J30" s="216">
        <f>VLOOKUP($AP22,$AC$21:$AK$24,8)</f>
        <v>0</v>
      </c>
      <c r="K30" s="217">
        <f>I30-J30</f>
        <v>0</v>
      </c>
      <c r="L30" s="197">
        <v>30</v>
      </c>
      <c r="M30" s="200" t="s">
        <v>12</v>
      </c>
      <c r="N30" s="197">
        <v>29</v>
      </c>
      <c r="O30" s="202" t="str">
        <f>Copa2022!E39</f>
        <v>Japão</v>
      </c>
      <c r="P30" s="202" t="str">
        <f>IF(Copa2022!F39="","",Copa2022!F39)</f>
        <v/>
      </c>
      <c r="Q30" s="202" t="str">
        <f>Copa2022!G39</f>
        <v>x</v>
      </c>
      <c r="R30" s="202" t="str">
        <f>IF(Copa2022!H39="","",Copa2022!H39)</f>
        <v/>
      </c>
      <c r="S30" s="202" t="str">
        <f>Copa2022!I39</f>
        <v>Espanha</v>
      </c>
      <c r="V30" s="197" t="b">
        <f t="shared" si="0"/>
        <v>0</v>
      </c>
      <c r="W30" s="199" t="str">
        <f t="shared" si="1"/>
        <v/>
      </c>
      <c r="X30" s="199" t="str">
        <f t="shared" si="2"/>
        <v/>
      </c>
      <c r="Y30" s="199" t="b">
        <f t="shared" si="3"/>
        <v>0</v>
      </c>
      <c r="Z30" s="199" t="b">
        <f t="shared" si="4"/>
        <v>0</v>
      </c>
      <c r="AA30" s="199"/>
      <c r="AB30" s="197">
        <v>2</v>
      </c>
      <c r="AC30" s="200" t="s">
        <v>151</v>
      </c>
      <c r="AD30" s="199">
        <f t="shared" si="10"/>
        <v>0</v>
      </c>
      <c r="AE30" s="199">
        <f t="shared" si="11"/>
        <v>0</v>
      </c>
      <c r="AF30" s="199">
        <f t="shared" si="12"/>
        <v>0</v>
      </c>
      <c r="AG30" s="199">
        <f t="shared" si="13"/>
        <v>0</v>
      </c>
      <c r="AH30" s="199">
        <f t="shared" si="14"/>
        <v>0</v>
      </c>
      <c r="AI30" s="199">
        <f t="shared" si="5"/>
        <v>0</v>
      </c>
      <c r="AJ30" s="199">
        <f t="shared" si="6"/>
        <v>0</v>
      </c>
      <c r="AK30" s="199">
        <f t="shared" si="7"/>
        <v>0</v>
      </c>
      <c r="AL30" s="197">
        <v>2</v>
      </c>
      <c r="AM30" s="203">
        <f t="shared" si="15"/>
        <v>2</v>
      </c>
      <c r="AN30" s="203">
        <f>LARGE($AM$29:$AM$32,AL30)</f>
        <v>3</v>
      </c>
      <c r="AO30" s="203">
        <f>MATCH(AN30,$AM$29:$AM$32,0)</f>
        <v>3</v>
      </c>
      <c r="AP30" s="203" t="str">
        <f>VLOOKUP(AO30,$AB$29:$AC$32,2)</f>
        <v>Sérvia</v>
      </c>
      <c r="AQ30" s="199" t="str">
        <f>IF(AS29=AS30,"-",2)</f>
        <v>-</v>
      </c>
      <c r="AR30" s="207">
        <f t="shared" si="8"/>
        <v>0</v>
      </c>
      <c r="AS30" s="199">
        <f>LARGE($AR$29:$AR$32,AL30)</f>
        <v>0</v>
      </c>
      <c r="AT30" s="581"/>
      <c r="AU30" s="197">
        <v>0.26</v>
      </c>
      <c r="AV30" s="222">
        <v>26</v>
      </c>
      <c r="AW30" s="197" t="str">
        <f t="shared" si="16"/>
        <v>Polônia</v>
      </c>
      <c r="AX30" s="199">
        <f t="shared" si="17"/>
        <v>0</v>
      </c>
      <c r="AY30" s="197">
        <f t="shared" si="18"/>
        <v>0.26</v>
      </c>
      <c r="AZ30" s="197">
        <f t="shared" si="19"/>
        <v>0.1</v>
      </c>
      <c r="BA30" s="199">
        <f t="shared" si="20"/>
        <v>10</v>
      </c>
      <c r="BB30" s="197" t="str">
        <f t="shared" si="21"/>
        <v>Coreia do Sul</v>
      </c>
      <c r="BC30" s="199">
        <f t="shared" si="22"/>
        <v>0</v>
      </c>
      <c r="BE30" s="197">
        <v>0.26</v>
      </c>
      <c r="BF30" s="222">
        <v>26</v>
      </c>
      <c r="BG30" s="197" t="str">
        <f t="shared" si="23"/>
        <v>Polônia</v>
      </c>
      <c r="BH30" s="199">
        <f t="shared" si="24"/>
        <v>0</v>
      </c>
      <c r="BI30" s="197">
        <f t="shared" si="25"/>
        <v>0.26</v>
      </c>
      <c r="BJ30" s="197">
        <f t="shared" si="26"/>
        <v>10000.25</v>
      </c>
      <c r="BK30" s="199">
        <f t="shared" si="27"/>
        <v>25</v>
      </c>
      <c r="BL30" s="197" t="str">
        <f t="shared" si="28"/>
        <v>País de Gales</v>
      </c>
      <c r="BM30" s="199">
        <f t="shared" si="29"/>
        <v>1</v>
      </c>
      <c r="BN30" s="197">
        <v>26</v>
      </c>
      <c r="BO30" s="197" t="str">
        <f t="shared" si="30"/>
        <v>Polônia</v>
      </c>
      <c r="BP30" s="199">
        <f t="shared" si="31"/>
        <v>0</v>
      </c>
      <c r="BQ30" s="199">
        <f t="shared" si="32"/>
        <v>0</v>
      </c>
      <c r="BR30" s="199">
        <f t="shared" si="33"/>
        <v>0</v>
      </c>
      <c r="BS30" s="199">
        <f t="shared" si="34"/>
        <v>0</v>
      </c>
      <c r="BT30" s="199">
        <f t="shared" si="35"/>
        <v>0</v>
      </c>
      <c r="BU30" s="199">
        <f t="shared" si="36"/>
        <v>0</v>
      </c>
      <c r="BV30" s="199">
        <f t="shared" si="37"/>
        <v>0</v>
      </c>
      <c r="BW30" s="199">
        <f t="shared" si="38"/>
        <v>0</v>
      </c>
      <c r="BX30" s="197">
        <v>7.3999999999999996E-2</v>
      </c>
      <c r="BY30" s="204">
        <f t="shared" si="39"/>
        <v>7.3999999999999996E-2</v>
      </c>
      <c r="BZ30" s="204">
        <f>LARGE(BY$5:$BY$36,BN30)</f>
        <v>6.9000000000000006E-2</v>
      </c>
      <c r="CA30" s="203">
        <f t="shared" si="40"/>
        <v>31</v>
      </c>
      <c r="CB30" s="203" t="str">
        <f t="shared" si="9"/>
        <v>Tunísia</v>
      </c>
      <c r="CC30" s="199" t="str">
        <f t="shared" si="42"/>
        <v>-</v>
      </c>
      <c r="CD30" s="207">
        <f t="shared" si="41"/>
        <v>0</v>
      </c>
      <c r="CE30" s="203">
        <f>LARGE($CD$5:CD$36,BN30)</f>
        <v>0</v>
      </c>
    </row>
    <row r="31" spans="2:83" ht="15" customHeight="1" x14ac:dyDescent="0.2">
      <c r="B31" s="214" t="str">
        <f>AQ23</f>
        <v>-</v>
      </c>
      <c r="C31" s="215" t="str">
        <f>AP23</f>
        <v>Costa Rica</v>
      </c>
      <c r="D31" s="216">
        <f>3*F31+H31</f>
        <v>0</v>
      </c>
      <c r="E31" s="216">
        <f>F31+G31+H31</f>
        <v>0</v>
      </c>
      <c r="F31" s="216">
        <f>VLOOKUP($AP23,$AC$21:$AK$24,4)</f>
        <v>0</v>
      </c>
      <c r="G31" s="216">
        <f>VLOOKUP($AP23,$AC$21:$AK$24,5)</f>
        <v>0</v>
      </c>
      <c r="H31" s="216">
        <f>VLOOKUP($AP23,$AC$21:$AK$24,6)</f>
        <v>0</v>
      </c>
      <c r="I31" s="216">
        <f>VLOOKUP($AP23,$AC$21:$AK$24,7)</f>
        <v>0</v>
      </c>
      <c r="J31" s="216">
        <f>VLOOKUP($AP23,$AC$21:$AK$24,8)</f>
        <v>0</v>
      </c>
      <c r="K31" s="217">
        <f>I31-J31</f>
        <v>0</v>
      </c>
      <c r="L31" s="197">
        <v>31</v>
      </c>
      <c r="M31" s="200" t="s">
        <v>129</v>
      </c>
      <c r="N31" s="197">
        <v>30</v>
      </c>
      <c r="O31" s="202" t="str">
        <f>Copa2022!E40</f>
        <v>Costa Rica</v>
      </c>
      <c r="P31" s="202" t="str">
        <f>IF(Copa2022!F40="","",Copa2022!F40)</f>
        <v/>
      </c>
      <c r="Q31" s="202" t="str">
        <f>Copa2022!G40</f>
        <v>x</v>
      </c>
      <c r="R31" s="202" t="str">
        <f>IF(Copa2022!H40="","",Copa2022!H40)</f>
        <v/>
      </c>
      <c r="S31" s="202" t="str">
        <f>Copa2022!I40</f>
        <v>Alemanha</v>
      </c>
      <c r="V31" s="225" t="b">
        <f t="shared" si="0"/>
        <v>0</v>
      </c>
      <c r="W31" s="199" t="str">
        <f t="shared" si="1"/>
        <v/>
      </c>
      <c r="X31" s="199" t="str">
        <f t="shared" si="2"/>
        <v/>
      </c>
      <c r="Y31" s="199" t="b">
        <f t="shared" si="3"/>
        <v>0</v>
      </c>
      <c r="Z31" s="199" t="b">
        <f t="shared" si="4"/>
        <v>0</v>
      </c>
      <c r="AA31" s="226"/>
      <c r="AB31" s="197">
        <v>3</v>
      </c>
      <c r="AC31" s="200" t="s">
        <v>128</v>
      </c>
      <c r="AD31" s="199">
        <f t="shared" si="10"/>
        <v>0</v>
      </c>
      <c r="AE31" s="199">
        <f t="shared" si="11"/>
        <v>0</v>
      </c>
      <c r="AF31" s="199">
        <f t="shared" si="12"/>
        <v>0</v>
      </c>
      <c r="AG31" s="199">
        <f t="shared" si="13"/>
        <v>0</v>
      </c>
      <c r="AH31" s="199">
        <f t="shared" si="14"/>
        <v>0</v>
      </c>
      <c r="AI31" s="199">
        <f t="shared" si="5"/>
        <v>0</v>
      </c>
      <c r="AJ31" s="199">
        <f t="shared" si="6"/>
        <v>0</v>
      </c>
      <c r="AK31" s="199">
        <f t="shared" si="7"/>
        <v>0</v>
      </c>
      <c r="AL31" s="197">
        <v>3</v>
      </c>
      <c r="AM31" s="203">
        <f t="shared" si="15"/>
        <v>3</v>
      </c>
      <c r="AN31" s="203">
        <f>LARGE($AM$29:$AM$32,AL31)</f>
        <v>2</v>
      </c>
      <c r="AO31" s="203">
        <f>MATCH(AN31,$AM$29:$AM$32,0)</f>
        <v>2</v>
      </c>
      <c r="AP31" s="203" t="str">
        <f>VLOOKUP(AO31,$AB$29:$AC$32,2)</f>
        <v>Camarões</v>
      </c>
      <c r="AQ31" s="199" t="str">
        <f>IF(AS30=AS31,"-",3)</f>
        <v>-</v>
      </c>
      <c r="AR31" s="207">
        <f t="shared" si="8"/>
        <v>0</v>
      </c>
      <c r="AS31" s="199">
        <f>LARGE($AR$29:$AR$32,AL31)</f>
        <v>0</v>
      </c>
      <c r="AT31" s="581"/>
      <c r="AU31" s="197">
        <v>0.27</v>
      </c>
      <c r="AV31" s="222">
        <v>27</v>
      </c>
      <c r="AW31" s="197" t="str">
        <f t="shared" si="16"/>
        <v>Portugal</v>
      </c>
      <c r="AX31" s="199">
        <f t="shared" si="17"/>
        <v>0</v>
      </c>
      <c r="AY31" s="197">
        <f t="shared" si="18"/>
        <v>0.27</v>
      </c>
      <c r="AZ31" s="197">
        <f t="shared" si="19"/>
        <v>0.09</v>
      </c>
      <c r="BA31" s="199">
        <f t="shared" si="20"/>
        <v>9</v>
      </c>
      <c r="BB31" s="197" t="str">
        <f t="shared" si="21"/>
        <v>Catar</v>
      </c>
      <c r="BC31" s="199">
        <f t="shared" si="22"/>
        <v>0</v>
      </c>
      <c r="BE31" s="197">
        <v>0.27</v>
      </c>
      <c r="BF31" s="222">
        <v>27</v>
      </c>
      <c r="BG31" s="197" t="str">
        <f t="shared" si="23"/>
        <v>Portugal</v>
      </c>
      <c r="BH31" s="199">
        <f t="shared" si="24"/>
        <v>0</v>
      </c>
      <c r="BI31" s="197">
        <f t="shared" si="25"/>
        <v>0.27</v>
      </c>
      <c r="BJ31" s="197">
        <f t="shared" si="26"/>
        <v>20000.03</v>
      </c>
      <c r="BK31" s="199">
        <f t="shared" si="27"/>
        <v>3</v>
      </c>
      <c r="BL31" s="197" t="str">
        <f t="shared" si="28"/>
        <v>Argentina</v>
      </c>
      <c r="BM31" s="199">
        <f t="shared" si="29"/>
        <v>2</v>
      </c>
      <c r="BN31" s="197">
        <v>27</v>
      </c>
      <c r="BO31" s="197" t="str">
        <f t="shared" si="30"/>
        <v>Portugal</v>
      </c>
      <c r="BP31" s="199">
        <f t="shared" si="31"/>
        <v>0</v>
      </c>
      <c r="BQ31" s="199">
        <f t="shared" si="32"/>
        <v>0</v>
      </c>
      <c r="BR31" s="199">
        <f t="shared" si="33"/>
        <v>0</v>
      </c>
      <c r="BS31" s="199">
        <f t="shared" si="34"/>
        <v>0</v>
      </c>
      <c r="BT31" s="199">
        <f t="shared" si="35"/>
        <v>0</v>
      </c>
      <c r="BU31" s="199">
        <f t="shared" si="36"/>
        <v>0</v>
      </c>
      <c r="BV31" s="199">
        <f t="shared" si="37"/>
        <v>0</v>
      </c>
      <c r="BW31" s="199">
        <f t="shared" si="38"/>
        <v>0</v>
      </c>
      <c r="BX31" s="197">
        <v>7.2999999999999995E-2</v>
      </c>
      <c r="BY31" s="204">
        <f t="shared" si="39"/>
        <v>7.2999999999999995E-2</v>
      </c>
      <c r="BZ31" s="204">
        <f>LARGE(BY$5:$BY$36,BN31)</f>
        <v>6.8000000000000005E-2</v>
      </c>
      <c r="CA31" s="203">
        <f t="shared" si="40"/>
        <v>32</v>
      </c>
      <c r="CB31" s="203" t="str">
        <f t="shared" si="9"/>
        <v>Uruguai</v>
      </c>
      <c r="CC31" s="199" t="str">
        <f t="shared" si="42"/>
        <v>-</v>
      </c>
      <c r="CD31" s="207">
        <f t="shared" si="41"/>
        <v>0</v>
      </c>
      <c r="CE31" s="203">
        <f>LARGE($CD$5:CD$36,BN31)</f>
        <v>0</v>
      </c>
    </row>
    <row r="32" spans="2:83" ht="15.75" thickBot="1" x14ac:dyDescent="0.25">
      <c r="B32" s="227" t="str">
        <f>AQ24</f>
        <v>-</v>
      </c>
      <c r="C32" s="228" t="str">
        <f>AP24</f>
        <v>Alemanha</v>
      </c>
      <c r="D32" s="229">
        <f>3*F32+H32</f>
        <v>0</v>
      </c>
      <c r="E32" s="229">
        <f>F32+G32+H32</f>
        <v>0</v>
      </c>
      <c r="F32" s="229">
        <f>VLOOKUP($AP24,$AC$21:$AK$24,4)</f>
        <v>0</v>
      </c>
      <c r="G32" s="229">
        <f>VLOOKUP($AP24,$AC$21:$AK$24,5)</f>
        <v>0</v>
      </c>
      <c r="H32" s="229">
        <f>VLOOKUP($AP24,$AC$21:$AK$24,6)</f>
        <v>0</v>
      </c>
      <c r="I32" s="229">
        <f>VLOOKUP($AP24,$AC$21:$AK$24,7)</f>
        <v>0</v>
      </c>
      <c r="J32" s="229">
        <f>VLOOKUP($AP24,$AC$21:$AK$24,8)</f>
        <v>0</v>
      </c>
      <c r="K32" s="230">
        <f>I32-J32</f>
        <v>0</v>
      </c>
      <c r="L32" s="197">
        <v>32</v>
      </c>
      <c r="M32" s="200" t="s">
        <v>2</v>
      </c>
      <c r="N32" s="197">
        <v>31</v>
      </c>
      <c r="O32" s="202" t="str">
        <f>Copa2022!E41</f>
        <v>Marrocos</v>
      </c>
      <c r="P32" s="202" t="str">
        <f>IF(Copa2022!F41="","",Copa2022!F41)</f>
        <v/>
      </c>
      <c r="Q32" s="202" t="str">
        <f>Copa2022!G41</f>
        <v>x</v>
      </c>
      <c r="R32" s="202" t="str">
        <f>IF(Copa2022!H41="","",Copa2022!H41)</f>
        <v/>
      </c>
      <c r="S32" s="202" t="str">
        <f>Copa2022!I41</f>
        <v>Croácia</v>
      </c>
      <c r="V32" s="197" t="b">
        <f t="shared" si="0"/>
        <v>0</v>
      </c>
      <c r="W32" s="199" t="str">
        <f t="shared" si="1"/>
        <v/>
      </c>
      <c r="X32" s="199" t="str">
        <f t="shared" si="2"/>
        <v/>
      </c>
      <c r="Y32" s="199" t="b">
        <f t="shared" si="3"/>
        <v>0</v>
      </c>
      <c r="Z32" s="199" t="b">
        <f t="shared" si="4"/>
        <v>0</v>
      </c>
      <c r="AA32" s="199"/>
      <c r="AB32" s="197">
        <v>4</v>
      </c>
      <c r="AC32" s="200" t="s">
        <v>12</v>
      </c>
      <c r="AD32" s="199">
        <f t="shared" si="10"/>
        <v>0</v>
      </c>
      <c r="AE32" s="199">
        <f t="shared" si="11"/>
        <v>0</v>
      </c>
      <c r="AF32" s="199">
        <f t="shared" si="12"/>
        <v>0</v>
      </c>
      <c r="AG32" s="199">
        <f t="shared" si="13"/>
        <v>0</v>
      </c>
      <c r="AH32" s="199">
        <f t="shared" si="14"/>
        <v>0</v>
      </c>
      <c r="AI32" s="199">
        <f t="shared" si="5"/>
        <v>0</v>
      </c>
      <c r="AJ32" s="199">
        <f t="shared" si="6"/>
        <v>0</v>
      </c>
      <c r="AK32" s="199">
        <f t="shared" si="7"/>
        <v>0</v>
      </c>
      <c r="AL32" s="197">
        <v>4</v>
      </c>
      <c r="AM32" s="203">
        <f t="shared" si="15"/>
        <v>4</v>
      </c>
      <c r="AN32" s="234">
        <f>LARGE($AM$29:$AM$32,AL32)</f>
        <v>1</v>
      </c>
      <c r="AO32" s="234">
        <f>MATCH(AN32,$AM$29:$AM$32,0)</f>
        <v>1</v>
      </c>
      <c r="AP32" s="234" t="str">
        <f>VLOOKUP(AO32,$AB$29:$AC$32,2)</f>
        <v>Brasil</v>
      </c>
      <c r="AQ32" s="226" t="str">
        <f>IF(AS31=AS32,"-",4)</f>
        <v>-</v>
      </c>
      <c r="AR32" s="235">
        <f t="shared" si="8"/>
        <v>0</v>
      </c>
      <c r="AS32" s="226">
        <f>LARGE($AR$29:$AR$32,AL32)</f>
        <v>0</v>
      </c>
      <c r="AT32" s="582"/>
      <c r="AU32" s="197">
        <v>0.28000000000000003</v>
      </c>
      <c r="AV32" s="222">
        <v>28</v>
      </c>
      <c r="AW32" s="197" t="str">
        <f t="shared" si="16"/>
        <v>Senegal</v>
      </c>
      <c r="AX32" s="199">
        <f t="shared" si="17"/>
        <v>0</v>
      </c>
      <c r="AY32" s="197">
        <f t="shared" si="18"/>
        <v>0.28000000000000003</v>
      </c>
      <c r="AZ32" s="197">
        <f t="shared" si="19"/>
        <v>0.08</v>
      </c>
      <c r="BA32" s="199">
        <f t="shared" si="20"/>
        <v>8</v>
      </c>
      <c r="BB32" s="197" t="str">
        <f t="shared" si="21"/>
        <v>Canadá</v>
      </c>
      <c r="BC32" s="199">
        <f t="shared" si="22"/>
        <v>0</v>
      </c>
      <c r="BE32" s="197">
        <v>0.28000000000000003</v>
      </c>
      <c r="BF32" s="222">
        <v>28</v>
      </c>
      <c r="BG32" s="197" t="str">
        <f t="shared" si="23"/>
        <v>Senegal</v>
      </c>
      <c r="BH32" s="199">
        <f t="shared" si="24"/>
        <v>2</v>
      </c>
      <c r="BI32" s="197">
        <f t="shared" si="25"/>
        <v>20000.28</v>
      </c>
      <c r="BJ32" s="197">
        <f t="shared" si="26"/>
        <v>20000.09</v>
      </c>
      <c r="BK32" s="199">
        <f t="shared" si="27"/>
        <v>9</v>
      </c>
      <c r="BL32" s="197" t="str">
        <f t="shared" si="28"/>
        <v>Catar</v>
      </c>
      <c r="BM32" s="199">
        <f t="shared" si="29"/>
        <v>2</v>
      </c>
      <c r="BN32" s="197">
        <v>28</v>
      </c>
      <c r="BO32" s="197" t="str">
        <f t="shared" si="30"/>
        <v>Senegal</v>
      </c>
      <c r="BP32" s="199">
        <f t="shared" si="31"/>
        <v>0</v>
      </c>
      <c r="BQ32" s="199">
        <f t="shared" si="32"/>
        <v>0</v>
      </c>
      <c r="BR32" s="199">
        <f t="shared" si="33"/>
        <v>0</v>
      </c>
      <c r="BS32" s="199">
        <f t="shared" si="34"/>
        <v>0</v>
      </c>
      <c r="BT32" s="199">
        <f t="shared" si="35"/>
        <v>0</v>
      </c>
      <c r="BU32" s="199">
        <f t="shared" si="36"/>
        <v>0</v>
      </c>
      <c r="BV32" s="199">
        <f t="shared" si="37"/>
        <v>2</v>
      </c>
      <c r="BW32" s="199">
        <f t="shared" si="38"/>
        <v>-2</v>
      </c>
      <c r="BX32" s="197">
        <v>7.1999999999999995E-2</v>
      </c>
      <c r="BY32" s="204">
        <f t="shared" si="39"/>
        <v>-19999.928</v>
      </c>
      <c r="BZ32" s="204">
        <f>LARGE(BY$5:$BY$36,BN32)</f>
        <v>-9899.9030000000002</v>
      </c>
      <c r="CA32" s="203">
        <f t="shared" si="40"/>
        <v>3</v>
      </c>
      <c r="CB32" s="203" t="str">
        <f t="shared" si="9"/>
        <v>Argentina</v>
      </c>
      <c r="CC32" s="199">
        <f t="shared" si="42"/>
        <v>28</v>
      </c>
      <c r="CD32" s="207">
        <f t="shared" si="41"/>
        <v>-20000</v>
      </c>
      <c r="CE32" s="203">
        <f>LARGE($CD$5:CD$36,BN32)</f>
        <v>-9900</v>
      </c>
    </row>
    <row r="33" spans="2:83" ht="15.75" thickBot="1" x14ac:dyDescent="0.25">
      <c r="B33" s="236"/>
      <c r="C33" s="241"/>
      <c r="D33" s="236"/>
      <c r="E33" s="236">
        <f>SUM(E29:E32)</f>
        <v>0</v>
      </c>
      <c r="F33" s="236"/>
      <c r="G33" s="236"/>
      <c r="H33" s="236"/>
      <c r="I33" s="236"/>
      <c r="J33" s="236"/>
      <c r="K33" s="236"/>
      <c r="N33" s="197">
        <v>32</v>
      </c>
      <c r="O33" s="202" t="str">
        <f>Copa2022!E42</f>
        <v>Bélgica</v>
      </c>
      <c r="P33" s="202" t="str">
        <f>IF(Copa2022!F42="","",Copa2022!F42)</f>
        <v/>
      </c>
      <c r="Q33" s="202" t="str">
        <f>Copa2022!G42</f>
        <v>x</v>
      </c>
      <c r="R33" s="202" t="str">
        <f>IF(Copa2022!H42="","",Copa2022!H42)</f>
        <v/>
      </c>
      <c r="S33" s="202" t="str">
        <f>Copa2022!I42</f>
        <v>Canadá</v>
      </c>
      <c r="V33" s="197" t="b">
        <f t="shared" si="0"/>
        <v>0</v>
      </c>
      <c r="W33" s="199" t="str">
        <f t="shared" si="1"/>
        <v/>
      </c>
      <c r="X33" s="199" t="str">
        <f t="shared" si="2"/>
        <v/>
      </c>
      <c r="Y33" s="199" t="b">
        <f t="shared" si="3"/>
        <v>0</v>
      </c>
      <c r="Z33" s="199" t="b">
        <f t="shared" si="4"/>
        <v>0</v>
      </c>
      <c r="AA33" s="199"/>
      <c r="AB33" s="218">
        <v>1</v>
      </c>
      <c r="AC33" s="219" t="s">
        <v>5</v>
      </c>
      <c r="AD33" s="220">
        <f t="shared" si="10"/>
        <v>0</v>
      </c>
      <c r="AE33" s="220">
        <f t="shared" si="11"/>
        <v>0</v>
      </c>
      <c r="AF33" s="220">
        <f t="shared" si="12"/>
        <v>0</v>
      </c>
      <c r="AG33" s="220">
        <f t="shared" si="13"/>
        <v>0</v>
      </c>
      <c r="AH33" s="220">
        <f t="shared" si="14"/>
        <v>0</v>
      </c>
      <c r="AI33" s="220">
        <f t="shared" si="5"/>
        <v>0</v>
      </c>
      <c r="AJ33" s="220">
        <f t="shared" si="6"/>
        <v>0</v>
      </c>
      <c r="AK33" s="220">
        <f t="shared" si="7"/>
        <v>0</v>
      </c>
      <c r="AL33" s="221">
        <v>1</v>
      </c>
      <c r="AM33" s="203">
        <f t="shared" si="15"/>
        <v>1</v>
      </c>
      <c r="AN33" s="203">
        <f>LARGE($AM$33:$AM$36,AL33)</f>
        <v>5</v>
      </c>
      <c r="AO33" s="203">
        <f>MATCH(AN33,$AM$33:$AM$36,0)</f>
        <v>2</v>
      </c>
      <c r="AP33" s="203" t="str">
        <f>VLOOKUP(AO33,$AB$33:$AC$36,2)</f>
        <v>Gana</v>
      </c>
      <c r="AQ33" s="199">
        <v>1</v>
      </c>
      <c r="AR33" s="207">
        <f t="shared" si="8"/>
        <v>0</v>
      </c>
      <c r="AS33" s="199">
        <f>LARGE($AR$33:$AR$36,AL33)</f>
        <v>3</v>
      </c>
      <c r="AT33" s="580" t="s">
        <v>55</v>
      </c>
      <c r="AU33" s="197">
        <v>0.28999999999999998</v>
      </c>
      <c r="AV33" s="222">
        <v>29</v>
      </c>
      <c r="AW33" s="197" t="str">
        <f t="shared" si="16"/>
        <v>Sérvia</v>
      </c>
      <c r="AX33" s="199">
        <f t="shared" si="17"/>
        <v>0</v>
      </c>
      <c r="AY33" s="197">
        <f t="shared" si="18"/>
        <v>0.28999999999999998</v>
      </c>
      <c r="AZ33" s="197">
        <f t="shared" si="19"/>
        <v>7.0000000000000007E-2</v>
      </c>
      <c r="BA33" s="199">
        <f t="shared" si="20"/>
        <v>7</v>
      </c>
      <c r="BB33" s="197" t="str">
        <f t="shared" si="21"/>
        <v>Camarões</v>
      </c>
      <c r="BC33" s="199">
        <f t="shared" si="22"/>
        <v>0</v>
      </c>
      <c r="BE33" s="197">
        <v>0.28999999999999998</v>
      </c>
      <c r="BF33" s="222">
        <v>29</v>
      </c>
      <c r="BG33" s="197" t="str">
        <f t="shared" si="23"/>
        <v>Sérvia</v>
      </c>
      <c r="BH33" s="199">
        <f t="shared" si="24"/>
        <v>0</v>
      </c>
      <c r="BI33" s="197">
        <f t="shared" si="25"/>
        <v>0.28999999999999998</v>
      </c>
      <c r="BJ33" s="197">
        <f t="shared" si="26"/>
        <v>20000.2</v>
      </c>
      <c r="BK33" s="199">
        <f t="shared" si="27"/>
        <v>20</v>
      </c>
      <c r="BL33" s="197" t="str">
        <f t="shared" si="28"/>
        <v>Inglaterra</v>
      </c>
      <c r="BM33" s="199">
        <f t="shared" si="29"/>
        <v>2</v>
      </c>
      <c r="BN33" s="197">
        <v>29</v>
      </c>
      <c r="BO33" s="197" t="str">
        <f t="shared" si="30"/>
        <v>Sérvia</v>
      </c>
      <c r="BP33" s="199">
        <f t="shared" si="31"/>
        <v>0</v>
      </c>
      <c r="BQ33" s="199">
        <f t="shared" si="32"/>
        <v>0</v>
      </c>
      <c r="BR33" s="199">
        <f t="shared" si="33"/>
        <v>0</v>
      </c>
      <c r="BS33" s="199">
        <f t="shared" si="34"/>
        <v>0</v>
      </c>
      <c r="BT33" s="199">
        <f t="shared" si="35"/>
        <v>0</v>
      </c>
      <c r="BU33" s="199">
        <f t="shared" si="36"/>
        <v>0</v>
      </c>
      <c r="BV33" s="199">
        <f t="shared" si="37"/>
        <v>0</v>
      </c>
      <c r="BW33" s="199">
        <f t="shared" si="38"/>
        <v>0</v>
      </c>
      <c r="BX33" s="197">
        <v>7.0999999999999994E-2</v>
      </c>
      <c r="BY33" s="204">
        <f t="shared" si="39"/>
        <v>7.0999999999999994E-2</v>
      </c>
      <c r="BZ33" s="204">
        <f>LARGE(BY$5:$BY$36,BN33)</f>
        <v>-19999.909</v>
      </c>
      <c r="CA33" s="203">
        <f t="shared" si="40"/>
        <v>9</v>
      </c>
      <c r="CB33" s="203" t="str">
        <f t="shared" si="9"/>
        <v>Catar</v>
      </c>
      <c r="CC33" s="199">
        <f t="shared" si="42"/>
        <v>29</v>
      </c>
      <c r="CD33" s="207">
        <f t="shared" si="41"/>
        <v>0</v>
      </c>
      <c r="CE33" s="203">
        <f>LARGE($CD$5:CD$36,BN33)</f>
        <v>-20000</v>
      </c>
    </row>
    <row r="34" spans="2:83" ht="15" x14ac:dyDescent="0.2">
      <c r="B34" s="584" t="s">
        <v>56</v>
      </c>
      <c r="C34" s="585"/>
      <c r="D34" s="212" t="s">
        <v>35</v>
      </c>
      <c r="E34" s="212" t="s">
        <v>36</v>
      </c>
      <c r="F34" s="212" t="s">
        <v>37</v>
      </c>
      <c r="G34" s="212" t="s">
        <v>38</v>
      </c>
      <c r="H34" s="212" t="s">
        <v>39</v>
      </c>
      <c r="I34" s="212" t="s">
        <v>40</v>
      </c>
      <c r="J34" s="212" t="s">
        <v>41</v>
      </c>
      <c r="K34" s="213" t="s">
        <v>42</v>
      </c>
      <c r="L34" s="197">
        <v>1</v>
      </c>
      <c r="M34" s="197" t="s">
        <v>57</v>
      </c>
      <c r="N34" s="197">
        <v>33</v>
      </c>
      <c r="O34" s="202" t="str">
        <f>Copa2022!E43</f>
        <v>Bélgica</v>
      </c>
      <c r="P34" s="202" t="str">
        <f>IF(Copa2022!F43="","",Copa2022!F43)</f>
        <v/>
      </c>
      <c r="Q34" s="202" t="str">
        <f>Copa2022!G43</f>
        <v>x</v>
      </c>
      <c r="R34" s="202" t="str">
        <f>IF(Copa2022!H43="","",Copa2022!H43)</f>
        <v/>
      </c>
      <c r="S34" s="202" t="str">
        <f>Copa2022!I43</f>
        <v>Marrocos</v>
      </c>
      <c r="V34" s="197" t="b">
        <f t="shared" si="0"/>
        <v>0</v>
      </c>
      <c r="W34" s="199" t="str">
        <f t="shared" si="1"/>
        <v/>
      </c>
      <c r="X34" s="199" t="str">
        <f t="shared" si="2"/>
        <v/>
      </c>
      <c r="Y34" s="199" t="b">
        <f t="shared" si="3"/>
        <v>0</v>
      </c>
      <c r="Z34" s="199" t="b">
        <f t="shared" si="4"/>
        <v>0</v>
      </c>
      <c r="AA34" s="199"/>
      <c r="AB34" s="223">
        <v>2</v>
      </c>
      <c r="AC34" s="200" t="s">
        <v>152</v>
      </c>
      <c r="AD34" s="199">
        <f t="shared" si="10"/>
        <v>0</v>
      </c>
      <c r="AE34" s="199">
        <f t="shared" si="11"/>
        <v>0</v>
      </c>
      <c r="AF34" s="199">
        <f t="shared" si="12"/>
        <v>0</v>
      </c>
      <c r="AG34" s="199">
        <f t="shared" si="13"/>
        <v>0</v>
      </c>
      <c r="AH34" s="199">
        <f t="shared" si="14"/>
        <v>0</v>
      </c>
      <c r="AI34" s="199">
        <f t="shared" si="5"/>
        <v>0</v>
      </c>
      <c r="AJ34" s="199">
        <f t="shared" si="6"/>
        <v>0</v>
      </c>
      <c r="AK34" s="199">
        <f t="shared" si="7"/>
        <v>0</v>
      </c>
      <c r="AL34" s="224">
        <v>2</v>
      </c>
      <c r="AM34" s="203">
        <f>(10^6)*AD34+(10^2)*AK34+10*AI34+AL34+AD40</f>
        <v>5</v>
      </c>
      <c r="AN34" s="203">
        <f>LARGE($AM$33:$AM$36,AL34)</f>
        <v>4</v>
      </c>
      <c r="AO34" s="203">
        <f>MATCH(AN34,$AM$33:$AM$36,0)</f>
        <v>4</v>
      </c>
      <c r="AP34" s="203" t="str">
        <f>VLOOKUP(AO34,$AB$33:$AC$36,2)</f>
        <v>Uruguai</v>
      </c>
      <c r="AQ34" s="199">
        <f>IF(AS33=AS34,"-",2)</f>
        <v>2</v>
      </c>
      <c r="AR34" s="207">
        <f t="shared" si="8"/>
        <v>3</v>
      </c>
      <c r="AS34" s="199">
        <f>LARGE($AR$33:$AR$36,AL34)</f>
        <v>0</v>
      </c>
      <c r="AT34" s="581"/>
      <c r="AU34" s="197">
        <v>0.3</v>
      </c>
      <c r="AV34" s="222">
        <v>30</v>
      </c>
      <c r="AW34" s="197" t="str">
        <f t="shared" si="16"/>
        <v>Suíça</v>
      </c>
      <c r="AX34" s="199">
        <f t="shared" si="17"/>
        <v>0</v>
      </c>
      <c r="AY34" s="197">
        <f t="shared" si="18"/>
        <v>0.3</v>
      </c>
      <c r="AZ34" s="197">
        <f t="shared" si="19"/>
        <v>0.06</v>
      </c>
      <c r="BA34" s="199">
        <f t="shared" si="20"/>
        <v>6</v>
      </c>
      <c r="BB34" s="197" t="str">
        <f t="shared" si="21"/>
        <v>Brasil</v>
      </c>
      <c r="BC34" s="199">
        <f t="shared" si="22"/>
        <v>0</v>
      </c>
      <c r="BE34" s="197">
        <v>0.3</v>
      </c>
      <c r="BF34" s="222">
        <v>30</v>
      </c>
      <c r="BG34" s="197" t="str">
        <f t="shared" si="23"/>
        <v>Suíça</v>
      </c>
      <c r="BH34" s="199">
        <f t="shared" si="24"/>
        <v>0</v>
      </c>
      <c r="BI34" s="197">
        <f t="shared" si="25"/>
        <v>0.3</v>
      </c>
      <c r="BJ34" s="197">
        <f t="shared" si="26"/>
        <v>20000.28</v>
      </c>
      <c r="BK34" s="199">
        <f t="shared" si="27"/>
        <v>28</v>
      </c>
      <c r="BL34" s="197" t="str">
        <f t="shared" si="28"/>
        <v>Senegal</v>
      </c>
      <c r="BM34" s="199">
        <f t="shared" si="29"/>
        <v>2</v>
      </c>
      <c r="BN34" s="197">
        <v>30</v>
      </c>
      <c r="BO34" s="197" t="str">
        <f t="shared" si="30"/>
        <v>Suíça</v>
      </c>
      <c r="BP34" s="199">
        <f t="shared" si="31"/>
        <v>0</v>
      </c>
      <c r="BQ34" s="199">
        <f t="shared" si="32"/>
        <v>0</v>
      </c>
      <c r="BR34" s="199">
        <f t="shared" si="33"/>
        <v>0</v>
      </c>
      <c r="BS34" s="199">
        <f t="shared" si="34"/>
        <v>0</v>
      </c>
      <c r="BT34" s="199">
        <f t="shared" si="35"/>
        <v>0</v>
      </c>
      <c r="BU34" s="199">
        <f t="shared" si="36"/>
        <v>0</v>
      </c>
      <c r="BV34" s="199">
        <f t="shared" si="37"/>
        <v>0</v>
      </c>
      <c r="BW34" s="199">
        <f t="shared" si="38"/>
        <v>0</v>
      </c>
      <c r="BX34" s="197">
        <v>7.0000000000000007E-2</v>
      </c>
      <c r="BY34" s="204">
        <f t="shared" si="39"/>
        <v>7.0000000000000007E-2</v>
      </c>
      <c r="BZ34" s="204">
        <f>LARGE(BY$5:$BY$36,BN34)</f>
        <v>-19999.928</v>
      </c>
      <c r="CA34" s="203">
        <f t="shared" si="40"/>
        <v>28</v>
      </c>
      <c r="CB34" s="203" t="str">
        <f t="shared" si="9"/>
        <v>Senegal</v>
      </c>
      <c r="CC34" s="199" t="str">
        <f t="shared" si="42"/>
        <v>-</v>
      </c>
      <c r="CD34" s="207">
        <f t="shared" si="41"/>
        <v>0</v>
      </c>
      <c r="CE34" s="203">
        <f>LARGE($CD$5:CD$36,BN34)</f>
        <v>-20000</v>
      </c>
    </row>
    <row r="35" spans="2:83" ht="15" x14ac:dyDescent="0.2">
      <c r="B35" s="214">
        <f>AQ25</f>
        <v>1</v>
      </c>
      <c r="C35" s="215" t="str">
        <f>AP25</f>
        <v>Marrocos</v>
      </c>
      <c r="D35" s="216">
        <f>3*F35+H35</f>
        <v>0</v>
      </c>
      <c r="E35" s="216">
        <f>F35+G35+H35</f>
        <v>0</v>
      </c>
      <c r="F35" s="216">
        <f>VLOOKUP($AP25,$AC$25:$AK$28,4)</f>
        <v>0</v>
      </c>
      <c r="G35" s="216">
        <f>VLOOKUP($AP25,$AC$25:$AK$28,5)</f>
        <v>0</v>
      </c>
      <c r="H35" s="216">
        <f>VLOOKUP($AP25,$AC$25:$AK$28,6)</f>
        <v>0</v>
      </c>
      <c r="I35" s="216">
        <f>VLOOKUP($AP25,$AC$25:$AK$28,7)</f>
        <v>0</v>
      </c>
      <c r="J35" s="216">
        <f>VLOOKUP($AP25,$AC$25:$AK$28,8)</f>
        <v>0</v>
      </c>
      <c r="K35" s="217">
        <f>I35-J35</f>
        <v>0</v>
      </c>
      <c r="L35" s="197">
        <v>2</v>
      </c>
      <c r="M35" s="200" t="str">
        <f>M1</f>
        <v>Alemanha</v>
      </c>
      <c r="N35" s="197">
        <v>34</v>
      </c>
      <c r="O35" s="202" t="str">
        <f>Copa2022!E44</f>
        <v>Croácia</v>
      </c>
      <c r="P35" s="202" t="str">
        <f>IF(Copa2022!F44="","",Copa2022!F44)</f>
        <v/>
      </c>
      <c r="Q35" s="202" t="str">
        <f>Copa2022!G44</f>
        <v>x</v>
      </c>
      <c r="R35" s="202" t="str">
        <f>IF(Copa2022!H44="","",Copa2022!H44)</f>
        <v/>
      </c>
      <c r="S35" s="202" t="str">
        <f>Copa2022!I44</f>
        <v>Canadá</v>
      </c>
      <c r="V35" s="197" t="b">
        <f t="shared" si="0"/>
        <v>0</v>
      </c>
      <c r="W35" s="199" t="str">
        <f t="shared" si="1"/>
        <v/>
      </c>
      <c r="X35" s="199" t="str">
        <f t="shared" si="2"/>
        <v/>
      </c>
      <c r="Y35" s="199" t="b">
        <f t="shared" si="3"/>
        <v>0</v>
      </c>
      <c r="Z35" s="199" t="b">
        <f t="shared" si="4"/>
        <v>0</v>
      </c>
      <c r="AA35" s="199"/>
      <c r="AB35" s="223">
        <v>3</v>
      </c>
      <c r="AC35" s="200" t="s">
        <v>9</v>
      </c>
      <c r="AD35" s="199">
        <f t="shared" si="10"/>
        <v>0</v>
      </c>
      <c r="AE35" s="199">
        <f t="shared" si="11"/>
        <v>0</v>
      </c>
      <c r="AF35" s="199">
        <f t="shared" si="12"/>
        <v>0</v>
      </c>
      <c r="AG35" s="199">
        <f t="shared" si="13"/>
        <v>0</v>
      </c>
      <c r="AH35" s="199">
        <f t="shared" si="14"/>
        <v>0</v>
      </c>
      <c r="AI35" s="199">
        <f t="shared" si="5"/>
        <v>0</v>
      </c>
      <c r="AJ35" s="199">
        <f t="shared" si="6"/>
        <v>0</v>
      </c>
      <c r="AK35" s="199">
        <f t="shared" si="7"/>
        <v>0</v>
      </c>
      <c r="AL35" s="224">
        <v>3</v>
      </c>
      <c r="AM35" s="203">
        <f t="shared" si="15"/>
        <v>3</v>
      </c>
      <c r="AN35" s="203">
        <f>LARGE($AM$33:$AM$36,AL35)</f>
        <v>3</v>
      </c>
      <c r="AO35" s="203">
        <f>MATCH(AN35,$AM$33:$AM$36,0)</f>
        <v>3</v>
      </c>
      <c r="AP35" s="203" t="str">
        <f>VLOOKUP(AO35,$AB$33:$AC$36,2)</f>
        <v>Portugal</v>
      </c>
      <c r="AQ35" s="199" t="str">
        <f>IF(AS34=AS35,"-",3)</f>
        <v>-</v>
      </c>
      <c r="AR35" s="207">
        <f t="shared" si="8"/>
        <v>0</v>
      </c>
      <c r="AS35" s="199">
        <f>LARGE($AR$33:$AR$36,AL35)</f>
        <v>0</v>
      </c>
      <c r="AT35" s="581"/>
      <c r="AU35" s="197">
        <v>0.31</v>
      </c>
      <c r="AV35" s="222">
        <v>31</v>
      </c>
      <c r="AW35" s="197" t="str">
        <f t="shared" si="16"/>
        <v>Tunísia</v>
      </c>
      <c r="AX35" s="199">
        <f t="shared" si="17"/>
        <v>0</v>
      </c>
      <c r="AY35" s="197">
        <f t="shared" si="18"/>
        <v>0.31</v>
      </c>
      <c r="AZ35" s="197">
        <f t="shared" si="19"/>
        <v>0.05</v>
      </c>
      <c r="BA35" s="199">
        <f t="shared" si="20"/>
        <v>5</v>
      </c>
      <c r="BB35" s="197" t="str">
        <f t="shared" si="21"/>
        <v>Bélgica</v>
      </c>
      <c r="BC35" s="199">
        <f t="shared" si="22"/>
        <v>0</v>
      </c>
      <c r="BE35" s="197">
        <v>0.31</v>
      </c>
      <c r="BF35" s="222">
        <v>31</v>
      </c>
      <c r="BG35" s="197" t="str">
        <f t="shared" si="23"/>
        <v>Tunísia</v>
      </c>
      <c r="BH35" s="199">
        <f t="shared" si="24"/>
        <v>0</v>
      </c>
      <c r="BI35" s="197">
        <f t="shared" si="25"/>
        <v>0.31</v>
      </c>
      <c r="BJ35" s="197">
        <f t="shared" si="26"/>
        <v>40000.04</v>
      </c>
      <c r="BK35" s="199">
        <f t="shared" si="27"/>
        <v>4</v>
      </c>
      <c r="BL35" s="197" t="str">
        <f t="shared" si="28"/>
        <v>Austrália</v>
      </c>
      <c r="BM35" s="199">
        <f t="shared" si="29"/>
        <v>4</v>
      </c>
      <c r="BN35" s="197">
        <v>31</v>
      </c>
      <c r="BO35" s="197" t="str">
        <f t="shared" si="30"/>
        <v>Tunísia</v>
      </c>
      <c r="BP35" s="199">
        <f t="shared" si="31"/>
        <v>0</v>
      </c>
      <c r="BQ35" s="199">
        <f t="shared" si="32"/>
        <v>0</v>
      </c>
      <c r="BR35" s="199">
        <f t="shared" si="33"/>
        <v>0</v>
      </c>
      <c r="BS35" s="199">
        <f t="shared" si="34"/>
        <v>0</v>
      </c>
      <c r="BT35" s="199">
        <f t="shared" si="35"/>
        <v>0</v>
      </c>
      <c r="BU35" s="199">
        <f t="shared" si="36"/>
        <v>0</v>
      </c>
      <c r="BV35" s="199">
        <f t="shared" si="37"/>
        <v>0</v>
      </c>
      <c r="BW35" s="199">
        <f t="shared" si="38"/>
        <v>0</v>
      </c>
      <c r="BX35" s="197">
        <v>6.9000000000000006E-2</v>
      </c>
      <c r="BY35" s="204">
        <f t="shared" si="39"/>
        <v>6.9000000000000006E-2</v>
      </c>
      <c r="BZ35" s="204">
        <f>LARGE(BY$5:$BY$36,BN35)</f>
        <v>-29899.903999999999</v>
      </c>
      <c r="CA35" s="203">
        <f t="shared" si="40"/>
        <v>4</v>
      </c>
      <c r="CB35" s="203" t="str">
        <f t="shared" si="9"/>
        <v>Austrália</v>
      </c>
      <c r="CC35" s="199">
        <f t="shared" si="42"/>
        <v>31</v>
      </c>
      <c r="CD35" s="207">
        <f t="shared" si="41"/>
        <v>0</v>
      </c>
      <c r="CE35" s="203">
        <f>LARGE($CD$5:CD$36,BN35)</f>
        <v>-29900</v>
      </c>
    </row>
    <row r="36" spans="2:83" ht="15" x14ac:dyDescent="0.2">
      <c r="B36" s="214" t="str">
        <f>AQ26</f>
        <v>-</v>
      </c>
      <c r="C36" s="215" t="str">
        <f>AP26</f>
        <v>Croácia</v>
      </c>
      <c r="D36" s="216">
        <f>3*F36+H36</f>
        <v>0</v>
      </c>
      <c r="E36" s="216">
        <f>F36+G36+H36</f>
        <v>0</v>
      </c>
      <c r="F36" s="216">
        <f>VLOOKUP($AP26,$AC$25:$AK$28,4)</f>
        <v>0</v>
      </c>
      <c r="G36" s="216">
        <f>VLOOKUP($AP26,$AC$25:$AK$28,5)</f>
        <v>0</v>
      </c>
      <c r="H36" s="216">
        <f>VLOOKUP($AP26,$AC$25:$AK$28,6)</f>
        <v>0</v>
      </c>
      <c r="I36" s="216">
        <f>VLOOKUP($AP26,$AC$25:$AK$28,7)</f>
        <v>0</v>
      </c>
      <c r="J36" s="216">
        <f>VLOOKUP($AP26,$AC$25:$AK$28,8)</f>
        <v>0</v>
      </c>
      <c r="K36" s="217">
        <f>I36-J36</f>
        <v>0</v>
      </c>
      <c r="L36" s="197">
        <v>3</v>
      </c>
      <c r="M36" s="200" t="str">
        <f t="shared" ref="M36:M66" si="43">M2</f>
        <v>Arábia Saudita</v>
      </c>
      <c r="N36" s="197">
        <v>35</v>
      </c>
      <c r="O36" s="202" t="str">
        <f>Copa2022!E45</f>
        <v>Croácia</v>
      </c>
      <c r="P36" s="202" t="str">
        <f>IF(Copa2022!F45="","",Copa2022!F45)</f>
        <v/>
      </c>
      <c r="Q36" s="202" t="str">
        <f>Copa2022!G45</f>
        <v>x</v>
      </c>
      <c r="R36" s="202" t="str">
        <f>IF(Copa2022!H45="","",Copa2022!H45)</f>
        <v/>
      </c>
      <c r="S36" s="202" t="str">
        <f>Copa2022!I45</f>
        <v>Bélgica</v>
      </c>
      <c r="V36" s="197" t="b">
        <f t="shared" si="0"/>
        <v>0</v>
      </c>
      <c r="W36" s="199" t="str">
        <f t="shared" si="1"/>
        <v/>
      </c>
      <c r="X36" s="199" t="str">
        <f t="shared" si="2"/>
        <v/>
      </c>
      <c r="Y36" s="199" t="b">
        <f t="shared" si="3"/>
        <v>0</v>
      </c>
      <c r="Z36" s="199" t="b">
        <f t="shared" si="4"/>
        <v>0</v>
      </c>
      <c r="AA36" s="199"/>
      <c r="AB36" s="231">
        <v>4</v>
      </c>
      <c r="AC36" s="232" t="s">
        <v>2</v>
      </c>
      <c r="AD36" s="226">
        <f t="shared" si="10"/>
        <v>0</v>
      </c>
      <c r="AE36" s="226">
        <f t="shared" si="11"/>
        <v>0</v>
      </c>
      <c r="AF36" s="226">
        <f t="shared" si="12"/>
        <v>0</v>
      </c>
      <c r="AG36" s="226">
        <f t="shared" si="13"/>
        <v>0</v>
      </c>
      <c r="AH36" s="226">
        <f t="shared" si="14"/>
        <v>0</v>
      </c>
      <c r="AI36" s="226">
        <f t="shared" si="5"/>
        <v>0</v>
      </c>
      <c r="AJ36" s="226">
        <f t="shared" si="6"/>
        <v>0</v>
      </c>
      <c r="AK36" s="226">
        <f t="shared" si="7"/>
        <v>0</v>
      </c>
      <c r="AL36" s="233">
        <v>4</v>
      </c>
      <c r="AM36" s="203">
        <f t="shared" si="15"/>
        <v>4</v>
      </c>
      <c r="AN36" s="234">
        <f>LARGE($AM$33:$AM$36,AL36)</f>
        <v>1</v>
      </c>
      <c r="AO36" s="234">
        <f>MATCH(AN36,$AM$33:$AM$36,0)</f>
        <v>1</v>
      </c>
      <c r="AP36" s="234" t="str">
        <f>VLOOKUP(AO36,$AB$33:$AC$36,2)</f>
        <v>Coreia do Sul</v>
      </c>
      <c r="AQ36" s="226" t="str">
        <f>IF(AS35=AS36,"-",4)</f>
        <v>-</v>
      </c>
      <c r="AR36" s="235">
        <f t="shared" si="8"/>
        <v>0</v>
      </c>
      <c r="AS36" s="226">
        <f>LARGE($AR$33:$AR$36,AL36)</f>
        <v>0</v>
      </c>
      <c r="AT36" s="582"/>
      <c r="AU36" s="197">
        <v>0.32</v>
      </c>
      <c r="AV36" s="222">
        <v>32</v>
      </c>
      <c r="AW36" s="197" t="str">
        <f t="shared" si="16"/>
        <v>Uruguai</v>
      </c>
      <c r="AX36" s="199">
        <f t="shared" si="17"/>
        <v>0</v>
      </c>
      <c r="AY36" s="197">
        <f t="shared" si="18"/>
        <v>0.32</v>
      </c>
      <c r="AZ36" s="197">
        <f t="shared" si="19"/>
        <v>0.01</v>
      </c>
      <c r="BA36" s="199">
        <f t="shared" si="20"/>
        <v>1</v>
      </c>
      <c r="BB36" s="197" t="str">
        <f t="shared" si="21"/>
        <v>Alemanha</v>
      </c>
      <c r="BC36" s="199">
        <f t="shared" si="22"/>
        <v>0</v>
      </c>
      <c r="BE36" s="197">
        <v>0.32</v>
      </c>
      <c r="BF36" s="222">
        <v>32</v>
      </c>
      <c r="BG36" s="197" t="str">
        <f t="shared" si="23"/>
        <v>Uruguai</v>
      </c>
      <c r="BH36" s="199">
        <f t="shared" si="24"/>
        <v>0</v>
      </c>
      <c r="BI36" s="197">
        <f t="shared" si="25"/>
        <v>0.32</v>
      </c>
      <c r="BJ36" s="197">
        <f t="shared" si="26"/>
        <v>60000.21</v>
      </c>
      <c r="BK36" s="199">
        <f t="shared" si="27"/>
        <v>21</v>
      </c>
      <c r="BL36" s="197" t="str">
        <f t="shared" si="28"/>
        <v>Irã</v>
      </c>
      <c r="BM36" s="199">
        <f t="shared" si="29"/>
        <v>6</v>
      </c>
      <c r="BN36" s="197">
        <v>32</v>
      </c>
      <c r="BO36" s="197" t="str">
        <f t="shared" si="30"/>
        <v>Uruguai</v>
      </c>
      <c r="BP36" s="199">
        <f t="shared" si="31"/>
        <v>0</v>
      </c>
      <c r="BQ36" s="199">
        <f t="shared" si="32"/>
        <v>0</v>
      </c>
      <c r="BR36" s="199">
        <f t="shared" si="33"/>
        <v>0</v>
      </c>
      <c r="BS36" s="199">
        <f t="shared" si="34"/>
        <v>0</v>
      </c>
      <c r="BT36" s="199">
        <f t="shared" si="35"/>
        <v>0</v>
      </c>
      <c r="BU36" s="199">
        <f t="shared" si="36"/>
        <v>0</v>
      </c>
      <c r="BV36" s="199">
        <f t="shared" si="37"/>
        <v>0</v>
      </c>
      <c r="BW36" s="199">
        <f t="shared" si="38"/>
        <v>0</v>
      </c>
      <c r="BX36" s="197">
        <v>6.8000000000000005E-2</v>
      </c>
      <c r="BY36" s="204">
        <f t="shared" si="39"/>
        <v>6.8000000000000005E-2</v>
      </c>
      <c r="BZ36" s="204">
        <f>LARGE(BY$5:$BY$36,BN36)</f>
        <v>-39799.921000000002</v>
      </c>
      <c r="CA36" s="203">
        <f t="shared" si="40"/>
        <v>21</v>
      </c>
      <c r="CB36" s="203" t="str">
        <f t="shared" si="9"/>
        <v>Irã</v>
      </c>
      <c r="CC36" s="199">
        <f t="shared" si="42"/>
        <v>32</v>
      </c>
      <c r="CD36" s="207">
        <f t="shared" si="41"/>
        <v>0</v>
      </c>
      <c r="CE36" s="203">
        <f>LARGE($CD$5:CD$36,BN36)</f>
        <v>-39800</v>
      </c>
    </row>
    <row r="37" spans="2:83" ht="15" x14ac:dyDescent="0.2">
      <c r="B37" s="214" t="str">
        <f>AQ27</f>
        <v>-</v>
      </c>
      <c r="C37" s="215" t="str">
        <f>AP27</f>
        <v>Canadá</v>
      </c>
      <c r="D37" s="216">
        <f>3*F37+H37</f>
        <v>0</v>
      </c>
      <c r="E37" s="216">
        <f>F37+G37+H37</f>
        <v>0</v>
      </c>
      <c r="F37" s="216">
        <f>VLOOKUP($AP27,$AC$25:$AK$28,4)</f>
        <v>0</v>
      </c>
      <c r="G37" s="216">
        <f>VLOOKUP($AP27,$AC$25:$AK$28,5)</f>
        <v>0</v>
      </c>
      <c r="H37" s="216">
        <f>VLOOKUP($AP27,$AC$25:$AK$28,6)</f>
        <v>0</v>
      </c>
      <c r="I37" s="216">
        <f>VLOOKUP($AP27,$AC$25:$AK$28,7)</f>
        <v>0</v>
      </c>
      <c r="J37" s="216">
        <f>VLOOKUP($AP27,$AC$25:$AK$28,8)</f>
        <v>0</v>
      </c>
      <c r="K37" s="217">
        <f>I37-J37</f>
        <v>0</v>
      </c>
      <c r="L37" s="197">
        <v>4</v>
      </c>
      <c r="M37" s="200" t="str">
        <f t="shared" si="43"/>
        <v>Argentina</v>
      </c>
      <c r="N37" s="197">
        <v>36</v>
      </c>
      <c r="O37" s="202" t="str">
        <f>Copa2022!E46</f>
        <v>Canadá</v>
      </c>
      <c r="P37" s="202" t="str">
        <f>IF(Copa2022!F46="","",Copa2022!F46)</f>
        <v/>
      </c>
      <c r="Q37" s="202" t="str">
        <f>Copa2022!G46</f>
        <v>x</v>
      </c>
      <c r="R37" s="202" t="str">
        <f>IF(Copa2022!H46="","",Copa2022!H46)</f>
        <v/>
      </c>
      <c r="S37" s="202" t="str">
        <f>Copa2022!I46</f>
        <v>Marrocos</v>
      </c>
      <c r="V37" s="225" t="b">
        <f t="shared" si="0"/>
        <v>0</v>
      </c>
      <c r="W37" s="199" t="str">
        <f t="shared" si="1"/>
        <v/>
      </c>
      <c r="X37" s="199" t="str">
        <f t="shared" si="2"/>
        <v/>
      </c>
      <c r="Y37" s="199" t="b">
        <f t="shared" si="3"/>
        <v>0</v>
      </c>
      <c r="Z37" s="199" t="b">
        <f t="shared" si="4"/>
        <v>0</v>
      </c>
      <c r="AA37" s="226"/>
      <c r="AC37" s="242"/>
      <c r="AI37" s="199">
        <f t="shared" si="5"/>
        <v>0</v>
      </c>
      <c r="AJ37" s="199">
        <f t="shared" si="6"/>
        <v>0</v>
      </c>
      <c r="AK37" s="199">
        <f t="shared" si="7"/>
        <v>0</v>
      </c>
    </row>
    <row r="38" spans="2:83" ht="15.75" thickBot="1" x14ac:dyDescent="0.25">
      <c r="B38" s="227" t="str">
        <f>AQ28</f>
        <v>-</v>
      </c>
      <c r="C38" s="228" t="str">
        <f>AP28</f>
        <v>Bélgica</v>
      </c>
      <c r="D38" s="229">
        <f>3*F38+H38</f>
        <v>0</v>
      </c>
      <c r="E38" s="229">
        <f>F38+G38+H38</f>
        <v>0</v>
      </c>
      <c r="F38" s="229">
        <f>VLOOKUP($AP28,$AC$25:$AK$28,4)</f>
        <v>0</v>
      </c>
      <c r="G38" s="229">
        <f>VLOOKUP($AP28,$AC$25:$AK$28,5)</f>
        <v>0</v>
      </c>
      <c r="H38" s="229">
        <f>VLOOKUP($AP28,$AC$25:$AK$28,6)</f>
        <v>0</v>
      </c>
      <c r="I38" s="229">
        <f>VLOOKUP($AP28,$AC$25:$AK$28,7)</f>
        <v>0</v>
      </c>
      <c r="J38" s="229">
        <f>VLOOKUP($AP28,$AC$25:$AK$28,8)</f>
        <v>0</v>
      </c>
      <c r="K38" s="230">
        <f>I38-J38</f>
        <v>0</v>
      </c>
      <c r="L38" s="197">
        <v>5</v>
      </c>
      <c r="M38" s="200" t="str">
        <f t="shared" si="43"/>
        <v>Austrália</v>
      </c>
      <c r="N38" s="197">
        <v>37</v>
      </c>
      <c r="O38" s="202" t="str">
        <f>Copa2022!E47</f>
        <v>Suíça</v>
      </c>
      <c r="P38" s="202" t="str">
        <f>IF(Copa2022!F47="","",Copa2022!F47)</f>
        <v/>
      </c>
      <c r="Q38" s="202" t="str">
        <f>Copa2022!G47</f>
        <v>x</v>
      </c>
      <c r="R38" s="202" t="str">
        <f>IF(Copa2022!H47="","",Copa2022!H47)</f>
        <v/>
      </c>
      <c r="S38" s="202" t="str">
        <f>Copa2022!I47</f>
        <v>Camarões</v>
      </c>
      <c r="V38" s="197" t="b">
        <f t="shared" si="0"/>
        <v>0</v>
      </c>
      <c r="W38" s="199" t="str">
        <f t="shared" si="1"/>
        <v/>
      </c>
      <c r="X38" s="199" t="str">
        <f t="shared" si="2"/>
        <v/>
      </c>
      <c r="Y38" s="199" t="b">
        <f t="shared" si="3"/>
        <v>0</v>
      </c>
      <c r="Z38" s="199" t="b">
        <f t="shared" si="4"/>
        <v>0</v>
      </c>
      <c r="AA38" s="199"/>
    </row>
    <row r="39" spans="2:83" ht="15.75" thickBot="1" x14ac:dyDescent="0.25">
      <c r="B39" s="236"/>
      <c r="C39" s="241"/>
      <c r="D39" s="236"/>
      <c r="E39" s="236">
        <f>SUM(E35:E38)</f>
        <v>0</v>
      </c>
      <c r="F39" s="236"/>
      <c r="G39" s="236"/>
      <c r="H39" s="236"/>
      <c r="I39" s="236"/>
      <c r="J39" s="236"/>
      <c r="K39" s="236"/>
      <c r="L39" s="197">
        <v>6</v>
      </c>
      <c r="M39" s="200" t="str">
        <f t="shared" si="43"/>
        <v>Bélgica</v>
      </c>
      <c r="N39" s="197">
        <v>38</v>
      </c>
      <c r="O39" s="202" t="str">
        <f>Copa2022!E48</f>
        <v>Brasil</v>
      </c>
      <c r="P39" s="202" t="str">
        <f>IF(Copa2022!F48="","",Copa2022!F48)</f>
        <v/>
      </c>
      <c r="Q39" s="202" t="str">
        <f>Copa2022!G48</f>
        <v>x</v>
      </c>
      <c r="R39" s="202" t="str">
        <f>IF(Copa2022!H48="","",Copa2022!H48)</f>
        <v/>
      </c>
      <c r="S39" s="202" t="str">
        <f>Copa2022!I48</f>
        <v>Sérvia</v>
      </c>
      <c r="V39" s="197" t="b">
        <f t="shared" si="0"/>
        <v>0</v>
      </c>
      <c r="W39" s="199" t="str">
        <f t="shared" si="1"/>
        <v/>
      </c>
      <c r="X39" s="199" t="str">
        <f t="shared" si="2"/>
        <v/>
      </c>
      <c r="Y39" s="199" t="b">
        <f t="shared" si="3"/>
        <v>0</v>
      </c>
      <c r="Z39" s="199" t="b">
        <f t="shared" si="4"/>
        <v>0</v>
      </c>
      <c r="AA39" s="199"/>
      <c r="AC39" s="197" t="s">
        <v>137</v>
      </c>
      <c r="AD39" s="199" t="s">
        <v>138</v>
      </c>
    </row>
    <row r="40" spans="2:83" ht="15" x14ac:dyDescent="0.2">
      <c r="B40" s="584" t="s">
        <v>58</v>
      </c>
      <c r="C40" s="585"/>
      <c r="D40" s="212" t="s">
        <v>35</v>
      </c>
      <c r="E40" s="212" t="s">
        <v>36</v>
      </c>
      <c r="F40" s="212" t="s">
        <v>37</v>
      </c>
      <c r="G40" s="212" t="s">
        <v>38</v>
      </c>
      <c r="H40" s="212" t="s">
        <v>39</v>
      </c>
      <c r="I40" s="212" t="s">
        <v>40</v>
      </c>
      <c r="J40" s="212" t="s">
        <v>41</v>
      </c>
      <c r="K40" s="213" t="s">
        <v>42</v>
      </c>
      <c r="L40" s="197">
        <v>7</v>
      </c>
      <c r="M40" s="200" t="str">
        <f t="shared" si="43"/>
        <v>Brasil</v>
      </c>
      <c r="N40" s="197">
        <v>39</v>
      </c>
      <c r="O40" s="202" t="str">
        <f>Copa2022!E49</f>
        <v>Camarões</v>
      </c>
      <c r="P40" s="202" t="str">
        <f>IF(Copa2022!F49="","",Copa2022!F49)</f>
        <v/>
      </c>
      <c r="Q40" s="202" t="str">
        <f>Copa2022!G49</f>
        <v>x</v>
      </c>
      <c r="R40" s="202" t="str">
        <f>IF(Copa2022!H49="","",Copa2022!H49)</f>
        <v/>
      </c>
      <c r="S40" s="202" t="str">
        <f>Copa2022!I49</f>
        <v>Sérvia</v>
      </c>
      <c r="V40" s="197" t="b">
        <f t="shared" si="0"/>
        <v>0</v>
      </c>
      <c r="W40" s="199" t="str">
        <f t="shared" si="1"/>
        <v/>
      </c>
      <c r="X40" s="199" t="str">
        <f t="shared" si="2"/>
        <v/>
      </c>
      <c r="Y40" s="199" t="b">
        <f t="shared" si="3"/>
        <v>0</v>
      </c>
      <c r="Z40" s="199" t="b">
        <f t="shared" si="4"/>
        <v>0</v>
      </c>
      <c r="AA40" s="199"/>
      <c r="AC40" s="197" t="s">
        <v>8</v>
      </c>
      <c r="AD40" s="199">
        <v>3</v>
      </c>
    </row>
    <row r="41" spans="2:83" ht="15" x14ac:dyDescent="0.2">
      <c r="B41" s="214">
        <f>AQ29</f>
        <v>1</v>
      </c>
      <c r="C41" s="215" t="str">
        <f>AP29</f>
        <v>Suíça</v>
      </c>
      <c r="D41" s="216">
        <f>3*F41+H41</f>
        <v>0</v>
      </c>
      <c r="E41" s="216">
        <f>F41+G41+H41</f>
        <v>0</v>
      </c>
      <c r="F41" s="216">
        <f>VLOOKUP($AP29,$AC$29:$AK$32,4)</f>
        <v>0</v>
      </c>
      <c r="G41" s="216">
        <f>VLOOKUP($AP29,$AC$29:$AK$32,5)</f>
        <v>0</v>
      </c>
      <c r="H41" s="216">
        <f>VLOOKUP($AP29,$AC$29:$AK$32,6)</f>
        <v>0</v>
      </c>
      <c r="I41" s="216">
        <f>VLOOKUP($AP29,$AC$29:$AK$32,7)</f>
        <v>0</v>
      </c>
      <c r="J41" s="216">
        <f>VLOOKUP($AP29,$AC$29:$AK$32,8)</f>
        <v>0</v>
      </c>
      <c r="K41" s="217">
        <f>I41-J41</f>
        <v>0</v>
      </c>
      <c r="L41" s="197">
        <v>8</v>
      </c>
      <c r="M41" s="200" t="str">
        <f t="shared" si="43"/>
        <v>Camarões</v>
      </c>
      <c r="N41" s="197">
        <v>40</v>
      </c>
      <c r="O41" s="202" t="str">
        <f>Copa2022!E50</f>
        <v>Brasil</v>
      </c>
      <c r="P41" s="202" t="str">
        <f>IF(Copa2022!F50="","",Copa2022!F50)</f>
        <v/>
      </c>
      <c r="Q41" s="202" t="str">
        <f>Copa2022!G50</f>
        <v>x</v>
      </c>
      <c r="R41" s="202" t="str">
        <f>IF(Copa2022!H50="","",Copa2022!H50)</f>
        <v/>
      </c>
      <c r="S41" s="202" t="str">
        <f>Copa2022!I50</f>
        <v>Suíça</v>
      </c>
      <c r="V41" s="197" t="b">
        <f t="shared" si="0"/>
        <v>0</v>
      </c>
      <c r="W41" s="199" t="str">
        <f t="shared" si="1"/>
        <v/>
      </c>
      <c r="X41" s="199" t="str">
        <f t="shared" si="2"/>
        <v/>
      </c>
      <c r="Y41" s="199" t="b">
        <f t="shared" si="3"/>
        <v>0</v>
      </c>
      <c r="Z41" s="199" t="b">
        <f t="shared" si="4"/>
        <v>0</v>
      </c>
      <c r="AA41" s="199"/>
      <c r="AC41" s="197" t="s">
        <v>131</v>
      </c>
      <c r="AD41" s="199">
        <v>0</v>
      </c>
    </row>
    <row r="42" spans="2:83" ht="15" x14ac:dyDescent="0.2">
      <c r="B42" s="214" t="str">
        <f>AQ30</f>
        <v>-</v>
      </c>
      <c r="C42" s="215" t="str">
        <f>AP30</f>
        <v>Sérvia</v>
      </c>
      <c r="D42" s="216">
        <f>3*F42+H42</f>
        <v>0</v>
      </c>
      <c r="E42" s="216">
        <f>F42+G42+H42</f>
        <v>0</v>
      </c>
      <c r="F42" s="216">
        <f>VLOOKUP($AP30,$AC$29:$AK$32,4)</f>
        <v>0</v>
      </c>
      <c r="G42" s="216">
        <f>VLOOKUP($AP30,$AC$29:$AK$32,5)</f>
        <v>0</v>
      </c>
      <c r="H42" s="216">
        <f>VLOOKUP($AP30,$AC$29:$AK$32,6)</f>
        <v>0</v>
      </c>
      <c r="I42" s="216">
        <f>VLOOKUP($AP30,$AC$29:$AK$32,7)</f>
        <v>0</v>
      </c>
      <c r="J42" s="216">
        <f>VLOOKUP($AP30,$AC$29:$AK$32,8)</f>
        <v>0</v>
      </c>
      <c r="K42" s="217">
        <f>I42-J42</f>
        <v>0</v>
      </c>
      <c r="L42" s="197">
        <v>9</v>
      </c>
      <c r="M42" s="200" t="str">
        <f t="shared" si="43"/>
        <v>Canadá</v>
      </c>
      <c r="N42" s="197">
        <v>41</v>
      </c>
      <c r="O42" s="202" t="str">
        <f>Copa2022!E51</f>
        <v>Camarões</v>
      </c>
      <c r="P42" s="202" t="str">
        <f>IF(Copa2022!F51="","",Copa2022!F51)</f>
        <v/>
      </c>
      <c r="Q42" s="202" t="str">
        <f>Copa2022!G51</f>
        <v>x</v>
      </c>
      <c r="R42" s="202" t="str">
        <f>IF(Copa2022!H51="","",Copa2022!H51)</f>
        <v/>
      </c>
      <c r="S42" s="202" t="str">
        <f>Copa2022!I51</f>
        <v>Brasil</v>
      </c>
      <c r="V42" s="197" t="b">
        <f t="shared" si="0"/>
        <v>0</v>
      </c>
      <c r="W42" s="199" t="str">
        <f t="shared" si="1"/>
        <v/>
      </c>
      <c r="X42" s="199" t="str">
        <f t="shared" si="2"/>
        <v/>
      </c>
      <c r="Y42" s="199" t="b">
        <f t="shared" si="3"/>
        <v>0</v>
      </c>
      <c r="Z42" s="199" t="b">
        <f t="shared" si="4"/>
        <v>0</v>
      </c>
      <c r="AA42" s="199"/>
    </row>
    <row r="43" spans="2:83" ht="15" x14ac:dyDescent="0.2">
      <c r="B43" s="214" t="str">
        <f>AQ31</f>
        <v>-</v>
      </c>
      <c r="C43" s="215" t="str">
        <f>AP31</f>
        <v>Camarões</v>
      </c>
      <c r="D43" s="216">
        <f>3*F43+H43</f>
        <v>0</v>
      </c>
      <c r="E43" s="216">
        <f>F43+G43+H43</f>
        <v>0</v>
      </c>
      <c r="F43" s="216">
        <f>VLOOKUP($AP31,$AC$29:$AK$32,4)</f>
        <v>0</v>
      </c>
      <c r="G43" s="216">
        <f>VLOOKUP($AP31,$AC$29:$AK$32,5)</f>
        <v>0</v>
      </c>
      <c r="H43" s="216">
        <f>VLOOKUP($AP31,$AC$29:$AK$32,6)</f>
        <v>0</v>
      </c>
      <c r="I43" s="216">
        <f>VLOOKUP($AP31,$AC$29:$AK$32,7)</f>
        <v>0</v>
      </c>
      <c r="J43" s="216">
        <f>VLOOKUP($AP31,$AC$29:$AK$32,8)</f>
        <v>0</v>
      </c>
      <c r="K43" s="217">
        <f>I43-J43</f>
        <v>0</v>
      </c>
      <c r="L43" s="197">
        <v>10</v>
      </c>
      <c r="M43" s="200" t="str">
        <f t="shared" si="43"/>
        <v>Catar</v>
      </c>
      <c r="N43" s="197">
        <v>42</v>
      </c>
      <c r="O43" s="202" t="str">
        <f>Copa2022!E52</f>
        <v>Sérvia</v>
      </c>
      <c r="P43" s="202" t="str">
        <f>IF(Copa2022!F52="","",Copa2022!F52)</f>
        <v/>
      </c>
      <c r="Q43" s="202" t="str">
        <f>Copa2022!G52</f>
        <v>x</v>
      </c>
      <c r="R43" s="202" t="str">
        <f>IF(Copa2022!H52="","",Copa2022!H52)</f>
        <v/>
      </c>
      <c r="S43" s="202" t="str">
        <f>Copa2022!I52</f>
        <v>Suíça</v>
      </c>
      <c r="V43" s="225" t="b">
        <f t="shared" si="0"/>
        <v>0</v>
      </c>
      <c r="W43" s="199" t="str">
        <f t="shared" si="1"/>
        <v/>
      </c>
      <c r="X43" s="199" t="str">
        <f t="shared" si="2"/>
        <v/>
      </c>
      <c r="Y43" s="199" t="b">
        <f t="shared" si="3"/>
        <v>0</v>
      </c>
      <c r="Z43" s="199" t="b">
        <f t="shared" si="4"/>
        <v>0</v>
      </c>
      <c r="AA43" s="226"/>
    </row>
    <row r="44" spans="2:83" ht="15.75" thickBot="1" x14ac:dyDescent="0.25">
      <c r="B44" s="227" t="str">
        <f>AQ32</f>
        <v>-</v>
      </c>
      <c r="C44" s="228" t="str">
        <f>AP32</f>
        <v>Brasil</v>
      </c>
      <c r="D44" s="229">
        <f>3*F44+H44</f>
        <v>0</v>
      </c>
      <c r="E44" s="229">
        <f>F44+G44+H44</f>
        <v>0</v>
      </c>
      <c r="F44" s="229">
        <f>VLOOKUP($AP32,$AC$29:$AK$32,4)</f>
        <v>0</v>
      </c>
      <c r="G44" s="229">
        <f>VLOOKUP($AP32,$AC$29:$AK$32,5)</f>
        <v>0</v>
      </c>
      <c r="H44" s="229">
        <f>VLOOKUP($AP32,$AC$29:$AK$32,6)</f>
        <v>0</v>
      </c>
      <c r="I44" s="229">
        <f>VLOOKUP($AP32,$AC$29:$AK$32,7)</f>
        <v>0</v>
      </c>
      <c r="J44" s="229">
        <f>VLOOKUP($AP32,$AC$29:$AK$32,8)</f>
        <v>0</v>
      </c>
      <c r="K44" s="230">
        <f>I44-J44</f>
        <v>0</v>
      </c>
      <c r="L44" s="197">
        <v>11</v>
      </c>
      <c r="M44" s="200" t="str">
        <f t="shared" si="43"/>
        <v>Coreia do Sul</v>
      </c>
      <c r="N44" s="197">
        <v>43</v>
      </c>
      <c r="O44" s="202" t="str">
        <f>Copa2022!E53</f>
        <v>Uruguai</v>
      </c>
      <c r="P44" s="202" t="str">
        <f>IF(Copa2022!F53="","",Copa2022!F53)</f>
        <v/>
      </c>
      <c r="Q44" s="202" t="str">
        <f>Copa2022!G53</f>
        <v>x</v>
      </c>
      <c r="R44" s="202" t="str">
        <f>IF(Copa2022!H53="","",Copa2022!H53)</f>
        <v/>
      </c>
      <c r="S44" s="202" t="str">
        <f>Copa2022!I53</f>
        <v>Coreia do Sul</v>
      </c>
      <c r="V44" s="197" t="b">
        <f t="shared" si="0"/>
        <v>0</v>
      </c>
      <c r="W44" s="199" t="str">
        <f t="shared" si="1"/>
        <v/>
      </c>
      <c r="X44" s="199" t="str">
        <f t="shared" si="2"/>
        <v/>
      </c>
      <c r="Y44" s="199" t="b">
        <f t="shared" si="3"/>
        <v>0</v>
      </c>
      <c r="Z44" s="199" t="b">
        <f t="shared" si="4"/>
        <v>0</v>
      </c>
      <c r="AA44" s="199"/>
    </row>
    <row r="45" spans="2:83" ht="15.75" thickBot="1" x14ac:dyDescent="0.25">
      <c r="B45" s="236"/>
      <c r="C45" s="241"/>
      <c r="D45" s="236"/>
      <c r="E45" s="236">
        <f>SUM(E41:E44)</f>
        <v>0</v>
      </c>
      <c r="F45" s="236"/>
      <c r="G45" s="236"/>
      <c r="H45" s="236"/>
      <c r="I45" s="236"/>
      <c r="J45" s="236"/>
      <c r="K45" s="236"/>
      <c r="L45" s="197">
        <v>12</v>
      </c>
      <c r="M45" s="200" t="str">
        <f t="shared" si="43"/>
        <v>Costa Rica</v>
      </c>
      <c r="N45" s="197">
        <v>44</v>
      </c>
      <c r="O45" s="202" t="str">
        <f>Copa2022!E54</f>
        <v>Portugal</v>
      </c>
      <c r="P45" s="202" t="str">
        <f>IF(Copa2022!F54="","",Copa2022!F54)</f>
        <v/>
      </c>
      <c r="Q45" s="202" t="str">
        <f>Copa2022!G54</f>
        <v>x</v>
      </c>
      <c r="R45" s="202" t="str">
        <f>IF(Copa2022!H54="","",Copa2022!H54)</f>
        <v/>
      </c>
      <c r="S45" s="202" t="str">
        <f>Copa2022!I54</f>
        <v>Gana</v>
      </c>
      <c r="V45" s="197" t="b">
        <f t="shared" si="0"/>
        <v>0</v>
      </c>
      <c r="W45" s="199" t="str">
        <f t="shared" si="1"/>
        <v/>
      </c>
      <c r="X45" s="199" t="str">
        <f t="shared" si="2"/>
        <v/>
      </c>
      <c r="Y45" s="199" t="b">
        <f t="shared" si="3"/>
        <v>0</v>
      </c>
      <c r="Z45" s="199" t="b">
        <f t="shared" si="4"/>
        <v>0</v>
      </c>
      <c r="AA45" s="199"/>
    </row>
    <row r="46" spans="2:83" ht="15" x14ac:dyDescent="0.2">
      <c r="B46" s="584" t="s">
        <v>59</v>
      </c>
      <c r="C46" s="585"/>
      <c r="D46" s="212" t="s">
        <v>35</v>
      </c>
      <c r="E46" s="212" t="s">
        <v>36</v>
      </c>
      <c r="F46" s="212" t="s">
        <v>37</v>
      </c>
      <c r="G46" s="212" t="s">
        <v>38</v>
      </c>
      <c r="H46" s="212" t="s">
        <v>39</v>
      </c>
      <c r="I46" s="212" t="s">
        <v>40</v>
      </c>
      <c r="J46" s="212" t="s">
        <v>41</v>
      </c>
      <c r="K46" s="213" t="s">
        <v>42</v>
      </c>
      <c r="L46" s="197">
        <v>13</v>
      </c>
      <c r="M46" s="200" t="str">
        <f t="shared" si="43"/>
        <v>Croácia</v>
      </c>
      <c r="N46" s="197">
        <v>45</v>
      </c>
      <c r="O46" s="202" t="str">
        <f>Copa2022!E55</f>
        <v>Coreia do Sul</v>
      </c>
      <c r="P46" s="202" t="str">
        <f>IF(Copa2022!F55="","",Copa2022!F55)</f>
        <v/>
      </c>
      <c r="Q46" s="202" t="str">
        <f>Copa2022!G55</f>
        <v>x</v>
      </c>
      <c r="R46" s="202" t="str">
        <f>IF(Copa2022!H55="","",Copa2022!H55)</f>
        <v/>
      </c>
      <c r="S46" s="202" t="str">
        <f>Copa2022!I55</f>
        <v>Gana</v>
      </c>
      <c r="V46" s="197" t="b">
        <f t="shared" si="0"/>
        <v>0</v>
      </c>
      <c r="W46" s="199" t="str">
        <f t="shared" si="1"/>
        <v/>
      </c>
      <c r="X46" s="199" t="str">
        <f t="shared" si="2"/>
        <v/>
      </c>
      <c r="Y46" s="199" t="b">
        <f t="shared" si="3"/>
        <v>0</v>
      </c>
      <c r="Z46" s="199" t="b">
        <f t="shared" si="4"/>
        <v>0</v>
      </c>
      <c r="AA46" s="199"/>
    </row>
    <row r="47" spans="2:83" ht="15" x14ac:dyDescent="0.2">
      <c r="B47" s="214">
        <f>AQ33</f>
        <v>1</v>
      </c>
      <c r="C47" s="215" t="str">
        <f>AP33</f>
        <v>Gana</v>
      </c>
      <c r="D47" s="216">
        <f>3*F47+H47</f>
        <v>0</v>
      </c>
      <c r="E47" s="216">
        <f>F47+G47+H47</f>
        <v>0</v>
      </c>
      <c r="F47" s="216">
        <f>VLOOKUP($AP33,$AC$33:$AK$36,4)</f>
        <v>0</v>
      </c>
      <c r="G47" s="216">
        <f>VLOOKUP($AP33,$AC$33:$AK$36,5)</f>
        <v>0</v>
      </c>
      <c r="H47" s="216">
        <f>VLOOKUP($AP33,$AC$33:$AK$36,6)</f>
        <v>0</v>
      </c>
      <c r="I47" s="216">
        <f>VLOOKUP($AP33,$AC$33:$AK$36,7)</f>
        <v>0</v>
      </c>
      <c r="J47" s="216">
        <f>VLOOKUP($AP33,$AC$33:$AK$36,8)</f>
        <v>0</v>
      </c>
      <c r="K47" s="217">
        <f>I47-J47</f>
        <v>0</v>
      </c>
      <c r="L47" s="197">
        <v>14</v>
      </c>
      <c r="M47" s="200" t="str">
        <f t="shared" si="43"/>
        <v>Dinamarca</v>
      </c>
      <c r="N47" s="197">
        <v>46</v>
      </c>
      <c r="O47" s="202" t="str">
        <f>Copa2022!E56</f>
        <v>Portugal</v>
      </c>
      <c r="P47" s="202" t="str">
        <f>IF(Copa2022!F56="","",Copa2022!F56)</f>
        <v/>
      </c>
      <c r="Q47" s="202" t="str">
        <f>Copa2022!G56</f>
        <v>x</v>
      </c>
      <c r="R47" s="202" t="str">
        <f>IF(Copa2022!H56="","",Copa2022!H56)</f>
        <v/>
      </c>
      <c r="S47" s="202" t="str">
        <f>Copa2022!I56</f>
        <v>Uruguai</v>
      </c>
      <c r="V47" s="197" t="b">
        <f t="shared" si="0"/>
        <v>0</v>
      </c>
      <c r="W47" s="199" t="str">
        <f t="shared" si="1"/>
        <v/>
      </c>
      <c r="X47" s="199" t="str">
        <f t="shared" si="2"/>
        <v/>
      </c>
      <c r="Y47" s="199" t="b">
        <f t="shared" si="3"/>
        <v>0</v>
      </c>
      <c r="Z47" s="199" t="b">
        <f t="shared" si="4"/>
        <v>0</v>
      </c>
      <c r="AA47" s="199"/>
    </row>
    <row r="48" spans="2:83" ht="15" x14ac:dyDescent="0.2">
      <c r="B48" s="214">
        <f>AQ34</f>
        <v>2</v>
      </c>
      <c r="C48" s="215" t="str">
        <f>AP34</f>
        <v>Uruguai</v>
      </c>
      <c r="D48" s="216">
        <f>3*F48+H48</f>
        <v>0</v>
      </c>
      <c r="E48" s="216">
        <f>F48+G48+H48</f>
        <v>0</v>
      </c>
      <c r="F48" s="216">
        <f>VLOOKUP($AP34,$AC$33:$AK$36,4)</f>
        <v>0</v>
      </c>
      <c r="G48" s="216">
        <f>VLOOKUP($AP34,$AC$33:$AK$36,5)</f>
        <v>0</v>
      </c>
      <c r="H48" s="216">
        <f>VLOOKUP($AP34,$AC$33:$AK$36,6)</f>
        <v>0</v>
      </c>
      <c r="I48" s="216">
        <f>VLOOKUP($AP34,$AC$33:$AK$36,7)</f>
        <v>0</v>
      </c>
      <c r="J48" s="216">
        <f>VLOOKUP($AP34,$AC$33:$AK$36,8)</f>
        <v>0</v>
      </c>
      <c r="K48" s="217">
        <f>I48-J48</f>
        <v>0</v>
      </c>
      <c r="L48" s="197">
        <v>15</v>
      </c>
      <c r="M48" s="200" t="str">
        <f t="shared" si="43"/>
        <v>Equador</v>
      </c>
      <c r="N48" s="197">
        <v>47</v>
      </c>
      <c r="O48" s="202" t="str">
        <f>Copa2022!E57</f>
        <v>Coreia do Sul</v>
      </c>
      <c r="P48" s="202" t="str">
        <f>IF(Copa2022!F57="","",Copa2022!F57)</f>
        <v/>
      </c>
      <c r="Q48" s="202" t="str">
        <f>Copa2022!G57</f>
        <v>x</v>
      </c>
      <c r="R48" s="202" t="str">
        <f>IF(Copa2022!H57="","",Copa2022!H57)</f>
        <v/>
      </c>
      <c r="S48" s="202" t="str">
        <f>Copa2022!I57</f>
        <v>Portugal</v>
      </c>
      <c r="V48" s="197" t="b">
        <f t="shared" si="0"/>
        <v>0</v>
      </c>
      <c r="W48" s="199" t="str">
        <f t="shared" si="1"/>
        <v/>
      </c>
      <c r="X48" s="199" t="str">
        <f t="shared" si="2"/>
        <v/>
      </c>
      <c r="Y48" s="199" t="b">
        <f t="shared" si="3"/>
        <v>0</v>
      </c>
      <c r="Z48" s="199" t="b">
        <f t="shared" si="4"/>
        <v>0</v>
      </c>
      <c r="AA48" s="199"/>
    </row>
    <row r="49" spans="1:31" ht="15" x14ac:dyDescent="0.2">
      <c r="B49" s="214" t="str">
        <f>AQ35</f>
        <v>-</v>
      </c>
      <c r="C49" s="215" t="str">
        <f>AP35</f>
        <v>Portugal</v>
      </c>
      <c r="D49" s="216">
        <f>3*F49+H49</f>
        <v>0</v>
      </c>
      <c r="E49" s="216">
        <f>F49+G49+H49</f>
        <v>0</v>
      </c>
      <c r="F49" s="216">
        <f>VLOOKUP($AP35,$AC$33:$AK$36,4)</f>
        <v>0</v>
      </c>
      <c r="G49" s="216">
        <f>VLOOKUP($AP35,$AC$33:$AK$36,5)</f>
        <v>0</v>
      </c>
      <c r="H49" s="216">
        <f>VLOOKUP($AP35,$AC$33:$AK$36,6)</f>
        <v>0</v>
      </c>
      <c r="I49" s="216">
        <f>VLOOKUP($AP35,$AC$33:$AK$36,7)</f>
        <v>0</v>
      </c>
      <c r="J49" s="216">
        <f>VLOOKUP($AP35,$AC$33:$AK$36,8)</f>
        <v>0</v>
      </c>
      <c r="K49" s="217">
        <f>I49-J49</f>
        <v>0</v>
      </c>
      <c r="L49" s="197">
        <v>16</v>
      </c>
      <c r="M49" s="200" t="str">
        <f t="shared" si="43"/>
        <v>Espanha</v>
      </c>
      <c r="N49" s="225">
        <v>48</v>
      </c>
      <c r="O49" s="202" t="str">
        <f>Copa2022!E58</f>
        <v>Gana</v>
      </c>
      <c r="P49" s="202" t="str">
        <f>IF(Copa2022!F58="","",Copa2022!F58)</f>
        <v/>
      </c>
      <c r="Q49" s="202" t="str">
        <f>Copa2022!G58</f>
        <v>x</v>
      </c>
      <c r="R49" s="202" t="str">
        <f>IF(Copa2022!H58="","",Copa2022!H58)</f>
        <v/>
      </c>
      <c r="S49" s="202" t="str">
        <f>Copa2022!I58</f>
        <v>Uruguai</v>
      </c>
      <c r="V49" s="197" t="b">
        <f t="shared" si="0"/>
        <v>0</v>
      </c>
      <c r="W49" s="199" t="str">
        <f t="shared" si="1"/>
        <v/>
      </c>
      <c r="X49" s="199" t="str">
        <f t="shared" si="2"/>
        <v/>
      </c>
      <c r="Y49" s="199" t="b">
        <f t="shared" si="3"/>
        <v>0</v>
      </c>
      <c r="Z49" s="199" t="b">
        <f t="shared" si="4"/>
        <v>0</v>
      </c>
      <c r="AA49" s="199"/>
    </row>
    <row r="50" spans="1:31" ht="15.75" customHeight="1" thickBot="1" x14ac:dyDescent="0.25">
      <c r="B50" s="227" t="str">
        <f>AQ36</f>
        <v>-</v>
      </c>
      <c r="C50" s="228" t="str">
        <f>AP36</f>
        <v>Coreia do Sul</v>
      </c>
      <c r="D50" s="229">
        <f>3*F50+H50</f>
        <v>0</v>
      </c>
      <c r="E50" s="229">
        <f>F50+G50+H50</f>
        <v>0</v>
      </c>
      <c r="F50" s="229">
        <f>VLOOKUP($AP36,$AC$33:$AK$36,4)</f>
        <v>0</v>
      </c>
      <c r="G50" s="229">
        <f>VLOOKUP($AP36,$AC$33:$AK$36,5)</f>
        <v>0</v>
      </c>
      <c r="H50" s="229">
        <f>VLOOKUP($AP36,$AC$33:$AK$36,6)</f>
        <v>0</v>
      </c>
      <c r="I50" s="229">
        <f>VLOOKUP($AP36,$AC$33:$AK$36,7)</f>
        <v>0</v>
      </c>
      <c r="J50" s="229">
        <f>VLOOKUP($AP36,$AC$33:$AK$36,8)</f>
        <v>0</v>
      </c>
      <c r="K50" s="230">
        <f>I50-J50</f>
        <v>0</v>
      </c>
      <c r="L50" s="197">
        <v>17</v>
      </c>
      <c r="M50" s="200" t="str">
        <f t="shared" si="43"/>
        <v>Estados Unidos</v>
      </c>
      <c r="N50" s="243">
        <v>49</v>
      </c>
      <c r="O50" s="244" t="str">
        <f>'2ª Fase'!E20</f>
        <v>1ºA</v>
      </c>
      <c r="P50" s="244" t="str">
        <f>IF('2ª Fase'!F20="","",'2ª Fase'!F20)</f>
        <v/>
      </c>
      <c r="Q50" s="244" t="s">
        <v>0</v>
      </c>
      <c r="R50" s="244" t="str">
        <f>IF('2ª Fase'!H20="","",'2ª Fase'!H20)</f>
        <v/>
      </c>
      <c r="S50" s="245" t="str">
        <f>'2ª Fase'!I20</f>
        <v>2ºB</v>
      </c>
      <c r="V50" s="197" t="b">
        <f t="shared" ref="V50:V65" si="44">AND(P50&lt;&gt;"",R50&lt;&gt;"")</f>
        <v>0</v>
      </c>
      <c r="W50" s="199" t="str">
        <f t="shared" si="1"/>
        <v/>
      </c>
      <c r="X50" s="199" t="str">
        <f t="shared" si="2"/>
        <v/>
      </c>
      <c r="Y50" s="199" t="b">
        <f t="shared" ref="Y50:Y65" si="45">IF($V50=TRUE,IF($P50=$R50,O50,""))</f>
        <v>0</v>
      </c>
      <c r="Z50" s="199" t="b">
        <f t="shared" ref="Z50:Z65" si="46">IF($V50=TRUE,IF($P50=$R50,S50,""))</f>
        <v>0</v>
      </c>
      <c r="AA50" s="199"/>
    </row>
    <row r="51" spans="1:31" x14ac:dyDescent="0.15">
      <c r="E51" s="199">
        <f>SUM(E47:E50)</f>
        <v>0</v>
      </c>
      <c r="L51" s="197">
        <v>18</v>
      </c>
      <c r="M51" s="200" t="str">
        <f t="shared" si="43"/>
        <v>França</v>
      </c>
      <c r="N51" s="246">
        <v>50</v>
      </c>
      <c r="O51" s="244" t="str">
        <f>'2ª Fase'!E21</f>
        <v>1ºC</v>
      </c>
      <c r="P51" s="244" t="str">
        <f>IF('2ª Fase'!F21="","",'2ª Fase'!F21)</f>
        <v/>
      </c>
      <c r="Q51" s="244" t="s">
        <v>0</v>
      </c>
      <c r="R51" s="244" t="str">
        <f>IF('2ª Fase'!H21="","",'2ª Fase'!H21)</f>
        <v/>
      </c>
      <c r="S51" s="245" t="str">
        <f>'2ª Fase'!I21</f>
        <v>2ºD</v>
      </c>
      <c r="V51" s="197" t="b">
        <f t="shared" si="44"/>
        <v>0</v>
      </c>
      <c r="W51" s="199" t="str">
        <f t="shared" si="1"/>
        <v/>
      </c>
      <c r="X51" s="199" t="str">
        <f t="shared" si="2"/>
        <v/>
      </c>
      <c r="Y51" s="199" t="b">
        <f t="shared" si="45"/>
        <v>0</v>
      </c>
      <c r="Z51" s="199" t="b">
        <f t="shared" si="46"/>
        <v>0</v>
      </c>
      <c r="AA51" s="199"/>
    </row>
    <row r="52" spans="1:31" x14ac:dyDescent="0.15">
      <c r="A52" s="586"/>
      <c r="B52" s="586"/>
      <c r="C52" s="586"/>
      <c r="D52" s="586"/>
      <c r="E52" s="586"/>
      <c r="F52" s="586"/>
      <c r="G52" s="586"/>
      <c r="H52" s="586"/>
      <c r="I52" s="586"/>
      <c r="J52" s="586"/>
      <c r="K52" s="586"/>
      <c r="L52" s="197">
        <v>19</v>
      </c>
      <c r="M52" s="200" t="str">
        <f t="shared" si="43"/>
        <v>Gana</v>
      </c>
      <c r="N52" s="246">
        <v>51</v>
      </c>
      <c r="O52" s="244" t="str">
        <f>'2ª Fase'!E22</f>
        <v>1ºB</v>
      </c>
      <c r="P52" s="244" t="str">
        <f>IF('2ª Fase'!F22="","",'2ª Fase'!F22)</f>
        <v/>
      </c>
      <c r="Q52" s="244" t="s">
        <v>0</v>
      </c>
      <c r="R52" s="244" t="str">
        <f>IF('2ª Fase'!H22="","",'2ª Fase'!H22)</f>
        <v/>
      </c>
      <c r="S52" s="245" t="str">
        <f>'2ª Fase'!I22</f>
        <v>2ºA</v>
      </c>
      <c r="V52" s="197" t="b">
        <f t="shared" si="44"/>
        <v>0</v>
      </c>
      <c r="W52" s="199" t="str">
        <f t="shared" si="1"/>
        <v/>
      </c>
      <c r="X52" s="199" t="str">
        <f t="shared" si="2"/>
        <v/>
      </c>
      <c r="Y52" s="199" t="b">
        <f t="shared" si="45"/>
        <v>0</v>
      </c>
      <c r="Z52" s="199" t="b">
        <f t="shared" si="46"/>
        <v>0</v>
      </c>
      <c r="AA52" s="199"/>
    </row>
    <row r="53" spans="1:31" x14ac:dyDescent="0.15">
      <c r="B53" s="197"/>
      <c r="C53" s="197"/>
      <c r="D53" s="197"/>
      <c r="E53" s="197"/>
      <c r="F53" s="197"/>
      <c r="G53" s="197"/>
      <c r="H53" s="197"/>
      <c r="I53" s="197"/>
      <c r="J53" s="197"/>
      <c r="K53" s="197"/>
      <c r="L53" s="197">
        <v>20</v>
      </c>
      <c r="M53" s="200" t="str">
        <f t="shared" si="43"/>
        <v>Holanda</v>
      </c>
      <c r="N53" s="246">
        <v>52</v>
      </c>
      <c r="O53" s="244" t="str">
        <f>'2ª Fase'!E23</f>
        <v>1ºD</v>
      </c>
      <c r="P53" s="244" t="str">
        <f>IF('2ª Fase'!F23="","",'2ª Fase'!F23)</f>
        <v/>
      </c>
      <c r="Q53" s="244" t="s">
        <v>0</v>
      </c>
      <c r="R53" s="244" t="str">
        <f>IF('2ª Fase'!H23="","",'2ª Fase'!H23)</f>
        <v/>
      </c>
      <c r="S53" s="245" t="str">
        <f>'2ª Fase'!I23</f>
        <v>2ºC</v>
      </c>
      <c r="V53" s="197" t="b">
        <f t="shared" si="44"/>
        <v>0</v>
      </c>
      <c r="W53" s="199" t="str">
        <f t="shared" si="1"/>
        <v/>
      </c>
      <c r="X53" s="199" t="str">
        <f t="shared" si="2"/>
        <v/>
      </c>
      <c r="Y53" s="199" t="b">
        <f t="shared" si="45"/>
        <v>0</v>
      </c>
      <c r="Z53" s="199" t="b">
        <f t="shared" si="46"/>
        <v>0</v>
      </c>
      <c r="AA53" s="199"/>
      <c r="AD53" s="202" t="s">
        <v>60</v>
      </c>
      <c r="AE53" s="199">
        <f>SUM(AE5:AE36)/2</f>
        <v>8</v>
      </c>
    </row>
    <row r="54" spans="1:31" x14ac:dyDescent="0.15">
      <c r="L54" s="197">
        <v>21</v>
      </c>
      <c r="M54" s="200" t="str">
        <f t="shared" si="43"/>
        <v>Inglaterra</v>
      </c>
      <c r="N54" s="246">
        <v>53</v>
      </c>
      <c r="O54" s="244" t="str">
        <f>'2ª Fase'!E24</f>
        <v>1ºE</v>
      </c>
      <c r="P54" s="244" t="str">
        <f>IF('2ª Fase'!F24="","",'2ª Fase'!F24)</f>
        <v/>
      </c>
      <c r="Q54" s="244" t="s">
        <v>0</v>
      </c>
      <c r="R54" s="244" t="str">
        <f>IF('2ª Fase'!H24="","",'2ª Fase'!H24)</f>
        <v/>
      </c>
      <c r="S54" s="245" t="str">
        <f>'2ª Fase'!I24</f>
        <v>2ºF</v>
      </c>
      <c r="V54" s="197" t="b">
        <f t="shared" si="44"/>
        <v>0</v>
      </c>
      <c r="W54" s="199" t="str">
        <f t="shared" si="1"/>
        <v/>
      </c>
      <c r="X54" s="199" t="str">
        <f t="shared" si="2"/>
        <v/>
      </c>
      <c r="Y54" s="199" t="b">
        <f t="shared" si="45"/>
        <v>0</v>
      </c>
      <c r="Z54" s="199" t="b">
        <f t="shared" si="46"/>
        <v>0</v>
      </c>
      <c r="AA54" s="199"/>
    </row>
    <row r="55" spans="1:31" x14ac:dyDescent="0.15">
      <c r="L55" s="197">
        <v>22</v>
      </c>
      <c r="M55" s="200" t="str">
        <f t="shared" si="43"/>
        <v>Irã</v>
      </c>
      <c r="N55" s="246">
        <v>54</v>
      </c>
      <c r="O55" s="244" t="str">
        <f>'2ª Fase'!E25</f>
        <v>1ºG</v>
      </c>
      <c r="P55" s="244" t="str">
        <f>IF('2ª Fase'!F25="","",'2ª Fase'!F25)</f>
        <v/>
      </c>
      <c r="Q55" s="244" t="s">
        <v>0</v>
      </c>
      <c r="R55" s="244" t="str">
        <f>IF('2ª Fase'!H25="","",'2ª Fase'!H25)</f>
        <v/>
      </c>
      <c r="S55" s="245" t="str">
        <f>'2ª Fase'!I25</f>
        <v>2ºH</v>
      </c>
      <c r="V55" s="197" t="b">
        <f t="shared" si="44"/>
        <v>0</v>
      </c>
      <c r="W55" s="199" t="str">
        <f t="shared" si="1"/>
        <v/>
      </c>
      <c r="X55" s="199" t="str">
        <f t="shared" si="2"/>
        <v/>
      </c>
      <c r="Y55" s="199" t="b">
        <f t="shared" si="45"/>
        <v>0</v>
      </c>
      <c r="Z55" s="199" t="b">
        <f t="shared" si="46"/>
        <v>0</v>
      </c>
      <c r="AA55" s="199"/>
    </row>
    <row r="56" spans="1:31" x14ac:dyDescent="0.15">
      <c r="L56" s="197">
        <v>23</v>
      </c>
      <c r="M56" s="200" t="str">
        <f t="shared" si="43"/>
        <v>Japão</v>
      </c>
      <c r="N56" s="246">
        <v>55</v>
      </c>
      <c r="O56" s="244" t="str">
        <f>'2ª Fase'!E26</f>
        <v>1ºF</v>
      </c>
      <c r="P56" s="244" t="str">
        <f>IF('2ª Fase'!F26="","",'2ª Fase'!F26)</f>
        <v/>
      </c>
      <c r="Q56" s="244" t="s">
        <v>0</v>
      </c>
      <c r="R56" s="244" t="str">
        <f>IF('2ª Fase'!H26="","",'2ª Fase'!H26)</f>
        <v/>
      </c>
      <c r="S56" s="245" t="str">
        <f>'2ª Fase'!I26</f>
        <v>2ºE</v>
      </c>
      <c r="V56" s="197" t="b">
        <f t="shared" si="44"/>
        <v>0</v>
      </c>
      <c r="W56" s="199" t="str">
        <f t="shared" si="1"/>
        <v/>
      </c>
      <c r="X56" s="199" t="str">
        <f t="shared" si="2"/>
        <v/>
      </c>
      <c r="Y56" s="199" t="b">
        <f t="shared" si="45"/>
        <v>0</v>
      </c>
      <c r="Z56" s="199" t="b">
        <f t="shared" si="46"/>
        <v>0</v>
      </c>
      <c r="AA56" s="199"/>
    </row>
    <row r="57" spans="1:31" x14ac:dyDescent="0.15">
      <c r="L57" s="197">
        <v>24</v>
      </c>
      <c r="M57" s="200" t="str">
        <f t="shared" si="43"/>
        <v>Marrocos</v>
      </c>
      <c r="N57" s="247">
        <v>56</v>
      </c>
      <c r="O57" s="244" t="str">
        <f>'2ª Fase'!E27</f>
        <v>1ºH</v>
      </c>
      <c r="P57" s="244" t="str">
        <f>IF('2ª Fase'!F27="","",'2ª Fase'!F27)</f>
        <v/>
      </c>
      <c r="Q57" s="244" t="s">
        <v>0</v>
      </c>
      <c r="R57" s="244" t="str">
        <f>IF('2ª Fase'!H27="","",'2ª Fase'!H27)</f>
        <v/>
      </c>
      <c r="S57" s="245" t="str">
        <f>'2ª Fase'!I27</f>
        <v>2ºG</v>
      </c>
      <c r="V57" s="197" t="b">
        <f t="shared" si="44"/>
        <v>0</v>
      </c>
      <c r="W57" s="199" t="str">
        <f t="shared" si="1"/>
        <v/>
      </c>
      <c r="X57" s="199" t="str">
        <f t="shared" si="2"/>
        <v/>
      </c>
      <c r="Y57" s="199" t="b">
        <f t="shared" si="45"/>
        <v>0</v>
      </c>
      <c r="Z57" s="199" t="b">
        <f t="shared" si="46"/>
        <v>0</v>
      </c>
      <c r="AA57" s="199"/>
    </row>
    <row r="58" spans="1:31" ht="12.75" customHeight="1" x14ac:dyDescent="0.15">
      <c r="L58" s="197">
        <v>25</v>
      </c>
      <c r="M58" s="200" t="str">
        <f t="shared" si="43"/>
        <v>México</v>
      </c>
      <c r="N58" s="246">
        <v>57</v>
      </c>
      <c r="O58" s="202" t="str">
        <f>'2ª Fase'!E30</f>
        <v>venc.53</v>
      </c>
      <c r="P58" s="244" t="str">
        <f>IF('2ª Fase'!F28="","",'2ª Fase'!F28)</f>
        <v/>
      </c>
      <c r="Q58" s="244" t="s">
        <v>0</v>
      </c>
      <c r="R58" s="244" t="str">
        <f>IF('2ª Fase'!H28="","",'2ª Fase'!H28)</f>
        <v/>
      </c>
      <c r="S58" s="248" t="str">
        <f>'2ª Fase'!I30</f>
        <v>venc.54</v>
      </c>
      <c r="V58" s="197" t="b">
        <f t="shared" si="44"/>
        <v>0</v>
      </c>
      <c r="W58" s="199" t="str">
        <f t="shared" si="1"/>
        <v/>
      </c>
      <c r="X58" s="199" t="str">
        <f t="shared" si="2"/>
        <v/>
      </c>
      <c r="Y58" s="199" t="b">
        <f t="shared" si="45"/>
        <v>0</v>
      </c>
      <c r="Z58" s="199" t="b">
        <f t="shared" si="46"/>
        <v>0</v>
      </c>
      <c r="AA58" s="199"/>
    </row>
    <row r="59" spans="1:31" x14ac:dyDescent="0.15">
      <c r="L59" s="197">
        <v>26</v>
      </c>
      <c r="M59" s="200" t="str">
        <f t="shared" si="43"/>
        <v>País de Gales</v>
      </c>
      <c r="N59" s="246">
        <v>58</v>
      </c>
      <c r="O59" s="202" t="str">
        <f>'2ª Fase'!E29</f>
        <v>venc.49</v>
      </c>
      <c r="P59" s="244" t="str">
        <f>IF('2ª Fase'!F29="","",'2ª Fase'!F29)</f>
        <v/>
      </c>
      <c r="Q59" s="244" t="s">
        <v>0</v>
      </c>
      <c r="R59" s="244" t="str">
        <f>IF('2ª Fase'!H29="","",'2ª Fase'!H29)</f>
        <v/>
      </c>
      <c r="S59" s="248" t="str">
        <f>'2ª Fase'!I29</f>
        <v>venc.50</v>
      </c>
      <c r="V59" s="197" t="b">
        <f t="shared" si="44"/>
        <v>0</v>
      </c>
      <c r="W59" s="199" t="str">
        <f t="shared" si="1"/>
        <v/>
      </c>
      <c r="X59" s="199" t="str">
        <f t="shared" si="2"/>
        <v/>
      </c>
      <c r="Y59" s="199" t="b">
        <f t="shared" si="45"/>
        <v>0</v>
      </c>
      <c r="Z59" s="199" t="b">
        <f t="shared" si="46"/>
        <v>0</v>
      </c>
      <c r="AA59" s="199"/>
    </row>
    <row r="60" spans="1:31" x14ac:dyDescent="0.15">
      <c r="L60" s="197">
        <v>27</v>
      </c>
      <c r="M60" s="200" t="str">
        <f t="shared" si="43"/>
        <v>Polônia</v>
      </c>
      <c r="N60" s="246">
        <v>59</v>
      </c>
      <c r="O60" s="202" t="str">
        <f>'2ª Fase'!I31</f>
        <v>venc.52</v>
      </c>
      <c r="P60" s="244" t="str">
        <f>IF('2ª Fase'!F30="","",'2ª Fase'!F30)</f>
        <v/>
      </c>
      <c r="Q60" s="244" t="s">
        <v>0</v>
      </c>
      <c r="R60" s="244" t="str">
        <f>IF('2ª Fase'!H30="","",'2ª Fase'!H30)</f>
        <v/>
      </c>
      <c r="S60" s="248" t="str">
        <f>'2ª Fase'!E31</f>
        <v>venc.51</v>
      </c>
      <c r="V60" s="197" t="b">
        <f t="shared" si="44"/>
        <v>0</v>
      </c>
      <c r="W60" s="199" t="str">
        <f t="shared" si="1"/>
        <v/>
      </c>
      <c r="X60" s="199" t="str">
        <f t="shared" si="2"/>
        <v/>
      </c>
      <c r="Y60" s="199" t="b">
        <f t="shared" si="45"/>
        <v>0</v>
      </c>
      <c r="Z60" s="199" t="b">
        <f t="shared" si="46"/>
        <v>0</v>
      </c>
      <c r="AA60" s="199"/>
    </row>
    <row r="61" spans="1:31" x14ac:dyDescent="0.15">
      <c r="L61" s="197">
        <v>28</v>
      </c>
      <c r="M61" s="200" t="str">
        <f t="shared" si="43"/>
        <v>Portugal</v>
      </c>
      <c r="N61" s="247">
        <v>60</v>
      </c>
      <c r="O61" s="249" t="str">
        <f>'2ª Fase'!E32</f>
        <v>venc.55</v>
      </c>
      <c r="P61" s="244" t="str">
        <f>IF('2ª Fase'!F31="","",'2ª Fase'!F31)</f>
        <v/>
      </c>
      <c r="Q61" s="244" t="s">
        <v>0</v>
      </c>
      <c r="R61" s="244" t="str">
        <f>IF('2ª Fase'!H31="","",'2ª Fase'!H31)</f>
        <v/>
      </c>
      <c r="S61" s="250" t="str">
        <f>'2ª Fase'!I32</f>
        <v>venc.56</v>
      </c>
      <c r="V61" s="197" t="b">
        <f t="shared" si="44"/>
        <v>0</v>
      </c>
      <c r="W61" s="199" t="str">
        <f t="shared" si="1"/>
        <v/>
      </c>
      <c r="X61" s="199" t="str">
        <f t="shared" si="2"/>
        <v/>
      </c>
      <c r="Y61" s="199" t="b">
        <f t="shared" si="45"/>
        <v>0</v>
      </c>
      <c r="Z61" s="199" t="b">
        <f t="shared" si="46"/>
        <v>0</v>
      </c>
      <c r="AA61" s="199"/>
    </row>
    <row r="62" spans="1:31" ht="12.75" customHeight="1" x14ac:dyDescent="0.15">
      <c r="L62" s="197">
        <v>29</v>
      </c>
      <c r="M62" s="200" t="str">
        <f t="shared" si="43"/>
        <v>Senegal</v>
      </c>
      <c r="N62" s="246">
        <v>61</v>
      </c>
      <c r="O62" s="202" t="str">
        <f>'2ª Fase'!I34</f>
        <v>venc.58</v>
      </c>
      <c r="P62" s="244" t="str">
        <f>IF('2ª Fase'!F32="","",'2ª Fase'!F32)</f>
        <v/>
      </c>
      <c r="Q62" s="244" t="s">
        <v>0</v>
      </c>
      <c r="R62" s="244" t="str">
        <f>IF('2ª Fase'!H32="","",'2ª Fase'!H32)</f>
        <v/>
      </c>
      <c r="S62" s="248" t="str">
        <f>'2ª Fase'!E34</f>
        <v>venc.57</v>
      </c>
      <c r="V62" s="197" t="b">
        <f t="shared" si="44"/>
        <v>0</v>
      </c>
      <c r="W62" s="199" t="str">
        <f t="shared" si="1"/>
        <v/>
      </c>
      <c r="X62" s="199" t="str">
        <f t="shared" si="2"/>
        <v/>
      </c>
      <c r="Y62" s="199" t="b">
        <f t="shared" si="45"/>
        <v>0</v>
      </c>
      <c r="Z62" s="199" t="b">
        <f t="shared" si="46"/>
        <v>0</v>
      </c>
      <c r="AA62" s="199"/>
    </row>
    <row r="63" spans="1:31" x14ac:dyDescent="0.15">
      <c r="L63" s="197">
        <v>30</v>
      </c>
      <c r="M63" s="200" t="str">
        <f t="shared" si="43"/>
        <v>Sérvia</v>
      </c>
      <c r="N63" s="247">
        <v>62</v>
      </c>
      <c r="O63" s="249" t="str">
        <f>'2ª Fase'!E35</f>
        <v>venc.59</v>
      </c>
      <c r="P63" s="244" t="str">
        <f>IF('2ª Fase'!F33="","",'2ª Fase'!F33)</f>
        <v/>
      </c>
      <c r="Q63" s="244" t="s">
        <v>0</v>
      </c>
      <c r="R63" s="244" t="str">
        <f>IF('2ª Fase'!H33="","",'2ª Fase'!H33)</f>
        <v/>
      </c>
      <c r="S63" s="250" t="str">
        <f>'2ª Fase'!I35</f>
        <v>venc.60</v>
      </c>
      <c r="V63" s="197" t="b">
        <f t="shared" si="44"/>
        <v>0</v>
      </c>
      <c r="W63" s="199" t="str">
        <f t="shared" si="1"/>
        <v/>
      </c>
      <c r="X63" s="199" t="str">
        <f t="shared" si="2"/>
        <v/>
      </c>
      <c r="Y63" s="199" t="b">
        <f t="shared" si="45"/>
        <v>0</v>
      </c>
      <c r="Z63" s="199" t="b">
        <f t="shared" si="46"/>
        <v>0</v>
      </c>
      <c r="AA63" s="199"/>
    </row>
    <row r="64" spans="1:31" x14ac:dyDescent="0.15">
      <c r="L64" s="197">
        <v>31</v>
      </c>
      <c r="M64" s="200" t="str">
        <f t="shared" si="43"/>
        <v>Suíça</v>
      </c>
      <c r="N64" s="251">
        <v>63</v>
      </c>
      <c r="O64" s="252" t="str">
        <f>'2ª Fase'!E39</f>
        <v>venc.61</v>
      </c>
      <c r="P64" s="244" t="str">
        <f>IF('2ª Fase'!F34="","",'2ª Fase'!F34)</f>
        <v/>
      </c>
      <c r="Q64" s="244" t="s">
        <v>0</v>
      </c>
      <c r="R64" s="244" t="str">
        <f>IF('2ª Fase'!H34="","",'2ª Fase'!H34)</f>
        <v/>
      </c>
      <c r="S64" s="253" t="str">
        <f>'2ª Fase'!I37</f>
        <v>perd.62</v>
      </c>
      <c r="V64" s="197" t="b">
        <f t="shared" si="44"/>
        <v>0</v>
      </c>
      <c r="W64" s="199" t="str">
        <f t="shared" si="1"/>
        <v/>
      </c>
      <c r="X64" s="199" t="str">
        <f t="shared" si="2"/>
        <v/>
      </c>
      <c r="Y64" s="199" t="b">
        <f t="shared" si="45"/>
        <v>0</v>
      </c>
      <c r="Z64" s="199" t="b">
        <f t="shared" si="46"/>
        <v>0</v>
      </c>
      <c r="AA64" s="199"/>
    </row>
    <row r="65" spans="12:27" x14ac:dyDescent="0.15">
      <c r="L65" s="197">
        <v>32</v>
      </c>
      <c r="M65" s="200" t="str">
        <f t="shared" si="43"/>
        <v>Tunísia</v>
      </c>
      <c r="N65" s="247">
        <v>64</v>
      </c>
      <c r="O65" s="249" t="str">
        <f>'2ª Fase'!E37</f>
        <v>perd.61</v>
      </c>
      <c r="P65" s="244" t="str">
        <f>IF('2ª Fase'!F35="","",'2ª Fase'!F35)</f>
        <v/>
      </c>
      <c r="Q65" s="244" t="s">
        <v>0</v>
      </c>
      <c r="R65" s="244" t="str">
        <f>IF('2ª Fase'!H35="","",'2ª Fase'!H35)</f>
        <v/>
      </c>
      <c r="S65" s="250" t="str">
        <f>'2ª Fase'!I39</f>
        <v>venc.62</v>
      </c>
      <c r="V65" s="197" t="b">
        <f t="shared" si="44"/>
        <v>0</v>
      </c>
      <c r="W65" s="199" t="str">
        <f t="shared" si="1"/>
        <v/>
      </c>
      <c r="X65" s="199" t="str">
        <f t="shared" si="2"/>
        <v/>
      </c>
      <c r="Y65" s="199" t="b">
        <f t="shared" si="45"/>
        <v>0</v>
      </c>
      <c r="Z65" s="199" t="b">
        <f t="shared" si="46"/>
        <v>0</v>
      </c>
      <c r="AA65" s="199"/>
    </row>
    <row r="66" spans="12:27" x14ac:dyDescent="0.15">
      <c r="L66" s="197">
        <v>33</v>
      </c>
      <c r="M66" s="200" t="str">
        <f t="shared" si="43"/>
        <v>Uruguai</v>
      </c>
    </row>
    <row r="67" spans="12:27" x14ac:dyDescent="0.15">
      <c r="O67" s="201"/>
    </row>
  </sheetData>
  <sheetProtection algorithmName="SHA-512" hashValue="dLTIOAMXruXldi9txIiV/W69q3TtwtkmVYyHmwB+oJQwIegOFlMZnw5l0dHMe0C65sIxSVJpjSZ90O6QVCbAfA==" saltValue="G/0o7gGjVyZplKE8gX7F6w==" spinCount="100000" sheet="1" selectLockedCells="1" selectUnlockedCells="1"/>
  <sortState xmlns:xlrd2="http://schemas.microsoft.com/office/spreadsheetml/2017/richdata2" ref="M1:M32">
    <sortCondition ref="M1:M32"/>
  </sortState>
  <mergeCells count="18">
    <mergeCell ref="AT33:AT36"/>
    <mergeCell ref="B34:C34"/>
    <mergeCell ref="B40:C40"/>
    <mergeCell ref="B46:C46"/>
    <mergeCell ref="A52:K52"/>
    <mergeCell ref="AT29:AT32"/>
    <mergeCell ref="C1:J3"/>
    <mergeCell ref="B4:C4"/>
    <mergeCell ref="AT5:AT8"/>
    <mergeCell ref="AT9:AT12"/>
    <mergeCell ref="B10:C10"/>
    <mergeCell ref="AT13:AT16"/>
    <mergeCell ref="B16:C16"/>
    <mergeCell ref="AT17:AT20"/>
    <mergeCell ref="AT21:AT24"/>
    <mergeCell ref="B22:C22"/>
    <mergeCell ref="AT25:AT28"/>
    <mergeCell ref="B28:C28"/>
  </mergeCells>
  <conditionalFormatting sqref="B5:K6">
    <cfRule type="expression" dxfId="7" priority="8" stopIfTrue="1">
      <formula>$E$9=12</formula>
    </cfRule>
  </conditionalFormatting>
  <conditionalFormatting sqref="B11:K12">
    <cfRule type="expression" dxfId="6" priority="7" stopIfTrue="1">
      <formula>$E$15=12</formula>
    </cfRule>
  </conditionalFormatting>
  <conditionalFormatting sqref="B17:K18">
    <cfRule type="expression" dxfId="5" priority="6" stopIfTrue="1">
      <formula>$E$21=12</formula>
    </cfRule>
  </conditionalFormatting>
  <conditionalFormatting sqref="B23:K24">
    <cfRule type="expression" dxfId="4" priority="5" stopIfTrue="1">
      <formula>$E$27=12</formula>
    </cfRule>
  </conditionalFormatting>
  <conditionalFormatting sqref="B29:K30">
    <cfRule type="expression" dxfId="3" priority="4" stopIfTrue="1">
      <formula>$E$33=12</formula>
    </cfRule>
  </conditionalFormatting>
  <conditionalFormatting sqref="B35:K36">
    <cfRule type="expression" dxfId="2" priority="3" stopIfTrue="1">
      <formula>$E$39=12</formula>
    </cfRule>
  </conditionalFormatting>
  <conditionalFormatting sqref="B41:K42">
    <cfRule type="expression" dxfId="1" priority="2" stopIfTrue="1">
      <formula>$E$45=12</formula>
    </cfRule>
  </conditionalFormatting>
  <conditionalFormatting sqref="B47:K48">
    <cfRule type="expression" dxfId="0" priority="1" stopIfTrue="1">
      <formula>$E$51=12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4294967293" r:id="rId1"/>
  <headerFooter>
    <oddFooter>&amp;L_x000D_&amp;1#&amp;"Calibri"&amp;10&amp;K008000 Classificação do documento: Público</oddFooter>
  </headerFooter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4"/>
  <dimension ref="A1"/>
  <sheetViews>
    <sheetView workbookViewId="0"/>
  </sheetViews>
  <sheetFormatPr defaultColWidth="11.43359375" defaultRowHeight="15" x14ac:dyDescent="0.2"/>
  <sheetData/>
  <pageMargins left="0.75" right="0.75" top="1" bottom="1" header="0.5" footer="0.5"/>
  <headerFooter>
    <oddFooter>&amp;L_x000D_&amp;1#&amp;"Calibri"&amp;10&amp;K008000 Classificação do documento: Público</oddFooter>
  </headerFooter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5"/>
  <dimension ref="A1"/>
  <sheetViews>
    <sheetView workbookViewId="0"/>
  </sheetViews>
  <sheetFormatPr defaultColWidth="11.43359375" defaultRowHeight="15" x14ac:dyDescent="0.2"/>
  <sheetData/>
  <pageMargins left="0.75" right="0.75" top="1" bottom="1" header="0.5" footer="0.5"/>
  <headerFooter>
    <oddFooter>&amp;L_x000D_&amp;1#&amp;"Calibri"&amp;10&amp;K008000 Classificação do documento: Público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Excel iOS</Application>
  <DocSecurity>0</DocSecurity>
  <ScaleCrop>false</ScaleCrop>
  <HeadingPairs>
    <vt:vector size="4" baseType="variant">
      <vt:variant>
        <vt:lpstr>Planilhas</vt:lpstr>
      </vt:variant>
      <vt:variant>
        <vt:i4>24</vt:i4>
      </vt:variant>
      <vt:variant>
        <vt:lpstr>Intervalos Nomeados</vt:lpstr>
      </vt:variant>
      <vt:variant>
        <vt:i4>1</vt:i4>
      </vt:variant>
    </vt:vector>
  </HeadingPairs>
  <TitlesOfParts>
    <vt:vector size="25" baseType="lpstr">
      <vt:lpstr>Regras</vt:lpstr>
      <vt:lpstr>Copa2022</vt:lpstr>
      <vt:lpstr>Palpites</vt:lpstr>
      <vt:lpstr>Placar</vt:lpstr>
      <vt:lpstr>George</vt:lpstr>
      <vt:lpstr>Laurindo</vt:lpstr>
      <vt:lpstr>Priscilla</vt:lpstr>
      <vt:lpstr>Rubiane</vt:lpstr>
      <vt:lpstr>Aurea</vt:lpstr>
      <vt:lpstr>Germano</vt:lpstr>
      <vt:lpstr>Albenice</vt:lpstr>
      <vt:lpstr>Flavio</vt:lpstr>
      <vt:lpstr>Claudio</vt:lpstr>
      <vt:lpstr>Eduardo</vt:lpstr>
      <vt:lpstr>Marcus</vt:lpstr>
      <vt:lpstr>Adalberto</vt:lpstr>
      <vt:lpstr>Adriano</vt:lpstr>
      <vt:lpstr>Girlayne</vt:lpstr>
      <vt:lpstr>Denise</vt:lpstr>
      <vt:lpstr>Silvia</vt:lpstr>
      <vt:lpstr>Andrea</vt:lpstr>
      <vt:lpstr>Plan1</vt:lpstr>
      <vt:lpstr>Sheet1</vt:lpstr>
      <vt:lpstr>Sheet2</vt:lpstr>
      <vt:lpstr>Plan1!Area_de_extracao</vt:lpstr>
    </vt:vector>
  </TitlesOfParts>
  <Manager/>
  <Company>www.ludopedio.com.br</Company>
  <LinksUpToDate>false</LinksUpToDate>
  <SharedDoc>false</SharedDoc>
  <HyperlinkBase>www.ludopedio.com.br</HyperlinkBase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Tabela automática da Copa do Mundo de 2018</dc:title>
  <dc:subject>Copa 2018</dc:subject>
  <dc:creator>Ludopédio</dc:creator>
  <cp:keywords/>
  <dc:description/>
  <cp:lastModifiedBy>George Arruda de Vasconcelos</cp:lastModifiedBy>
  <dcterms:created xsi:type="dcterms:W3CDTF">2010-05-04T00:40:24Z</dcterms:created>
  <dcterms:modified xsi:type="dcterms:W3CDTF">2022-11-22T18:37:37Z</dcterms:modified>
  <cp:category/>
  <cp:contentStatus>Tabela da Copa do Mundo de 2014</cp:contentStatus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0f2a4182-cbce-4ad5-8246-e8542f62f7ba_Enabled">
    <vt:lpwstr>true</vt:lpwstr>
  </property>
  <property fmtid="{D5CDD505-2E9C-101B-9397-08002B2CF9AE}" pid="3" name="MSIP_Label_0f2a4182-cbce-4ad5-8246-e8542f62f7ba_SetDate">
    <vt:lpwstr>2022-11-10T19:02:29Z</vt:lpwstr>
  </property>
  <property fmtid="{D5CDD505-2E9C-101B-9397-08002B2CF9AE}" pid="4" name="MSIP_Label_0f2a4182-cbce-4ad5-8246-e8542f62f7ba_Method">
    <vt:lpwstr>Privileged</vt:lpwstr>
  </property>
  <property fmtid="{D5CDD505-2E9C-101B-9397-08002B2CF9AE}" pid="5" name="MSIP_Label_0f2a4182-cbce-4ad5-8246-e8542f62f7ba_Name">
    <vt:lpwstr>Público</vt:lpwstr>
  </property>
  <property fmtid="{D5CDD505-2E9C-101B-9397-08002B2CF9AE}" pid="6" name="MSIP_Label_0f2a4182-cbce-4ad5-8246-e8542f62f7ba_SiteId">
    <vt:lpwstr>c7a4317c-6ed8-4a45-989d-32c9b3690628</vt:lpwstr>
  </property>
  <property fmtid="{D5CDD505-2E9C-101B-9397-08002B2CF9AE}" pid="7" name="MSIP_Label_0f2a4182-cbce-4ad5-8246-e8542f62f7ba_ActionId">
    <vt:lpwstr>84a43c4b-de33-4cc2-af73-3b8b2533aa46</vt:lpwstr>
  </property>
  <property fmtid="{D5CDD505-2E9C-101B-9397-08002B2CF9AE}" pid="8" name="MSIP_Label_0f2a4182-cbce-4ad5-8246-e8542f62f7ba_ContentBits">
    <vt:lpwstr>2</vt:lpwstr>
  </property>
</Properties>
</file>