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628"/>
  <workbookPr defaultThemeVersion="124226"/>
  <mc:AlternateContent xmlns:mc="http://schemas.openxmlformats.org/markup-compatibility/2006">
    <mc:Choice Requires="x15">
      <x15ac:absPath xmlns:x15ac="http://schemas.microsoft.com/office/spreadsheetml/2010/11/ac" url="https://ugentbe-my.sharepoint.com/personal/hongzhen_luo_ugent_be/Documents/project/NutriBudget/T1.2 &amp; T1.3/R code/test/"/>
    </mc:Choice>
  </mc:AlternateContent>
  <xr:revisionPtr revIDLastSave="2637" documentId="8_{0BBD433E-C267-4B21-8F85-3925E6F7C683}" xr6:coauthVersionLast="47" xr6:coauthVersionMax="47" xr10:uidLastSave="{FA40EB69-13F0-4944-94A5-54FA2581E8E7}"/>
  <bookViews>
    <workbookView xWindow="-108" yWindow="-108" windowWidth="23256" windowHeight="12576" xr2:uid="{00000000-000D-0000-FFFF-FFFF00000000}"/>
  </bookViews>
  <sheets>
    <sheet name="RQ3_database" sheetId="5" r:id="rId1"/>
    <sheet name="RQ3_reference" sheetId="6" r:id="rId2"/>
  </sheets>
  <definedNames>
    <definedName name="_xlnm._FilterDatabase" localSheetId="0" hidden="1">RQ3_database!$Y$1:$Y$231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26" i="5" l="1"/>
  <c r="P97" i="5"/>
  <c r="P96" i="5"/>
  <c r="P95" i="5"/>
  <c r="P94" i="5"/>
  <c r="P93" i="5"/>
  <c r="P92" i="5"/>
  <c r="P91" i="5"/>
  <c r="P90" i="5"/>
  <c r="P89" i="5"/>
  <c r="P88" i="5"/>
  <c r="P87" i="5"/>
  <c r="P86" i="5"/>
  <c r="P83" i="5"/>
  <c r="P84" i="5"/>
  <c r="P85" i="5"/>
  <c r="P82" i="5"/>
  <c r="P79" i="5"/>
  <c r="P80" i="5"/>
  <c r="P81" i="5"/>
  <c r="P78" i="5"/>
  <c r="AB99" i="5"/>
  <c r="AB98" i="5"/>
  <c r="Z99" i="5"/>
  <c r="Z98" i="5"/>
  <c r="AC10" i="5"/>
  <c r="AC11" i="5"/>
  <c r="AC12" i="5"/>
  <c r="AC13" i="5"/>
  <c r="AC14" i="5"/>
  <c r="AC15" i="5"/>
  <c r="AC16" i="5"/>
  <c r="AC9" i="5"/>
  <c r="AB10" i="5"/>
  <c r="AB11" i="5"/>
  <c r="AB12" i="5"/>
  <c r="AB13" i="5"/>
  <c r="AB14" i="5"/>
  <c r="AB15" i="5"/>
  <c r="AB16" i="5"/>
  <c r="AB9" i="5"/>
  <c r="AC6" i="5"/>
  <c r="AB6" i="5"/>
  <c r="AB231" i="5"/>
  <c r="Z231" i="5"/>
  <c r="AB230" i="5"/>
  <c r="Z230" i="5"/>
  <c r="AB229" i="5"/>
  <c r="Z229" i="5"/>
  <c r="C231" i="5"/>
  <c r="C230" i="5"/>
  <c r="C229" i="5"/>
  <c r="AA219" i="5"/>
  <c r="Z219" i="5"/>
  <c r="AA218" i="5"/>
  <c r="Z218" i="5"/>
  <c r="C221" i="5"/>
  <c r="C220" i="5"/>
  <c r="C217" i="5"/>
  <c r="C216" i="5"/>
  <c r="AA211" i="5"/>
  <c r="Z211" i="5"/>
  <c r="AA210" i="5"/>
  <c r="Z210" i="5"/>
  <c r="C215" i="5"/>
  <c r="C214" i="5"/>
  <c r="C213" i="5"/>
  <c r="C212" i="5"/>
  <c r="AB209" i="5"/>
  <c r="Z209" i="5"/>
  <c r="AB208" i="5"/>
  <c r="Z208" i="5"/>
  <c r="AB207" i="5"/>
  <c r="Z207" i="5"/>
  <c r="AB206" i="5"/>
  <c r="Z206" i="5"/>
  <c r="AB205" i="5"/>
  <c r="Z205" i="5"/>
  <c r="AB204" i="5"/>
  <c r="Z204" i="5"/>
  <c r="AB203" i="5"/>
  <c r="Z203" i="5"/>
  <c r="AB202" i="5"/>
  <c r="Z202" i="5"/>
  <c r="AB201" i="5"/>
  <c r="Z201" i="5"/>
  <c r="AB200" i="5"/>
  <c r="Z200" i="5"/>
  <c r="AB199" i="5"/>
  <c r="Z199" i="5"/>
  <c r="AB198" i="5"/>
  <c r="Z198" i="5"/>
  <c r="AB197" i="5"/>
  <c r="Z197" i="5"/>
  <c r="AB196" i="5"/>
  <c r="Z196" i="5"/>
  <c r="AB195" i="5"/>
  <c r="Z195" i="5"/>
  <c r="AB194" i="5"/>
  <c r="Z194" i="5"/>
  <c r="AB193" i="5"/>
  <c r="Z193" i="5"/>
  <c r="AB192" i="5"/>
  <c r="Z192" i="5"/>
  <c r="Z174" i="5"/>
  <c r="W209" i="5"/>
  <c r="C209" i="5"/>
  <c r="W208" i="5"/>
  <c r="C208" i="5"/>
  <c r="C207" i="5"/>
  <c r="C206" i="5"/>
  <c r="C205" i="5"/>
  <c r="C204" i="5"/>
  <c r="W203" i="5"/>
  <c r="C203" i="5"/>
  <c r="W202" i="5"/>
  <c r="C202" i="5"/>
  <c r="C201" i="5"/>
  <c r="C200" i="5"/>
  <c r="C199" i="5"/>
  <c r="C198" i="5"/>
  <c r="W197" i="5"/>
  <c r="C197" i="5"/>
  <c r="W196" i="5"/>
  <c r="C196" i="5"/>
  <c r="C195" i="5"/>
  <c r="C194" i="5"/>
  <c r="C193" i="5"/>
  <c r="C192" i="5"/>
  <c r="AA171" i="5"/>
  <c r="Z171" i="5"/>
  <c r="AA170" i="5"/>
  <c r="Z170" i="5"/>
  <c r="AA169" i="5"/>
  <c r="Z169" i="5"/>
  <c r="AA168" i="5"/>
  <c r="Z168" i="5"/>
  <c r="AA167" i="5"/>
  <c r="Z167" i="5"/>
  <c r="AA166" i="5"/>
  <c r="Z166" i="5"/>
  <c r="AA165" i="5"/>
  <c r="Z165" i="5"/>
  <c r="AA164" i="5"/>
  <c r="Z164" i="5"/>
  <c r="AA163" i="5"/>
  <c r="Z163" i="5"/>
  <c r="AA162" i="5"/>
  <c r="Z162" i="5"/>
  <c r="C171" i="5"/>
  <c r="C170" i="5"/>
  <c r="C169" i="5"/>
  <c r="C168" i="5"/>
  <c r="C167" i="5"/>
  <c r="C166" i="5"/>
  <c r="C165" i="5"/>
  <c r="C164" i="5"/>
  <c r="C163" i="5"/>
  <c r="C162" i="5"/>
  <c r="AC145" i="5"/>
  <c r="AB145" i="5"/>
  <c r="AA145" i="5"/>
  <c r="Z145" i="5"/>
  <c r="AC144" i="5"/>
  <c r="AB144" i="5"/>
  <c r="AA144" i="5"/>
  <c r="Z144" i="5"/>
  <c r="V147" i="5"/>
  <c r="C147" i="5"/>
  <c r="V146" i="5"/>
  <c r="C146" i="5"/>
  <c r="AB143" i="5"/>
  <c r="Z143" i="5"/>
  <c r="AB142" i="5"/>
  <c r="Z142" i="5"/>
  <c r="AB141" i="5"/>
  <c r="Z141" i="5"/>
  <c r="AB140" i="5"/>
  <c r="Z140" i="5"/>
  <c r="AB139" i="5"/>
  <c r="Z139" i="5"/>
  <c r="AB138" i="5"/>
  <c r="Z138" i="5"/>
  <c r="AB137" i="5"/>
  <c r="Z137" i="5"/>
  <c r="AB136" i="5"/>
  <c r="Z136" i="5"/>
  <c r="AB135" i="5"/>
  <c r="Z135" i="5"/>
  <c r="AB124" i="5"/>
  <c r="Z124" i="5"/>
  <c r="AB123" i="5"/>
  <c r="Z123" i="5"/>
  <c r="AB122" i="5"/>
  <c r="Z122" i="5"/>
  <c r="AB121" i="5"/>
  <c r="Z121" i="5"/>
  <c r="AB120" i="5"/>
  <c r="Z120" i="5"/>
  <c r="C134" i="5"/>
  <c r="C133" i="5"/>
  <c r="C132" i="5"/>
  <c r="C131" i="5"/>
  <c r="C130" i="5"/>
  <c r="C129" i="5"/>
  <c r="C128" i="5"/>
  <c r="C127" i="5"/>
  <c r="C126" i="5"/>
  <c r="C125" i="5"/>
  <c r="C119" i="5"/>
  <c r="C118" i="5"/>
  <c r="C117" i="5"/>
  <c r="C116" i="5"/>
  <c r="C115" i="5"/>
  <c r="C114" i="5"/>
  <c r="C113" i="5"/>
  <c r="C112" i="5"/>
  <c r="C111" i="5"/>
  <c r="C101" i="5"/>
  <c r="C100" i="5"/>
  <c r="C97" i="5"/>
  <c r="C96" i="5"/>
  <c r="C95" i="5"/>
  <c r="C94" i="5"/>
  <c r="C93" i="5"/>
  <c r="C92" i="5"/>
  <c r="AB77" i="5"/>
  <c r="Z77" i="5"/>
  <c r="AB76" i="5"/>
  <c r="Z76" i="5"/>
  <c r="AB75" i="5"/>
  <c r="Z75" i="5"/>
  <c r="AB74" i="5"/>
  <c r="Z74" i="5"/>
  <c r="AB73" i="5"/>
  <c r="Z73" i="5"/>
  <c r="AB72" i="5"/>
  <c r="Z72" i="5"/>
  <c r="AB71" i="5"/>
  <c r="Z71" i="5"/>
  <c r="AB70" i="5"/>
  <c r="Z70" i="5"/>
  <c r="AB69" i="5"/>
  <c r="Z69" i="5"/>
  <c r="AB68" i="5"/>
  <c r="Z68" i="5"/>
  <c r="AB67" i="5"/>
  <c r="Z67" i="5"/>
  <c r="AB66" i="5"/>
  <c r="Z66" i="5"/>
  <c r="C65" i="5"/>
  <c r="C64" i="5"/>
  <c r="C63" i="5"/>
  <c r="C62" i="5"/>
  <c r="C61" i="5"/>
  <c r="C60" i="5"/>
  <c r="C59" i="5"/>
  <c r="C58" i="5"/>
  <c r="C57" i="5"/>
  <c r="C56" i="5"/>
  <c r="C55" i="5"/>
  <c r="C54" i="5"/>
  <c r="C53" i="5"/>
  <c r="C52" i="5"/>
  <c r="C51" i="5"/>
  <c r="C50" i="5"/>
  <c r="C49" i="5"/>
  <c r="C48" i="5"/>
  <c r="C41" i="5"/>
  <c r="C40" i="5"/>
  <c r="C39" i="5"/>
  <c r="C38" i="5"/>
  <c r="C37" i="5"/>
  <c r="C36" i="5"/>
  <c r="C35" i="5"/>
  <c r="C34" i="5"/>
  <c r="C29" i="5"/>
  <c r="C28" i="5"/>
  <c r="C25" i="5"/>
  <c r="C24" i="5"/>
  <c r="C23" i="5"/>
  <c r="C22" i="5"/>
  <c r="C21" i="5"/>
  <c r="C20" i="5"/>
  <c r="AA14" i="5"/>
  <c r="Z14" i="5"/>
  <c r="C14" i="5"/>
  <c r="AA13" i="5"/>
  <c r="Z13" i="5"/>
  <c r="C13" i="5"/>
  <c r="AA12" i="5"/>
  <c r="Z12" i="5"/>
  <c r="C12" i="5"/>
  <c r="AA11" i="5"/>
  <c r="Z11" i="5"/>
  <c r="C11" i="5"/>
  <c r="AA16" i="5"/>
  <c r="Z16" i="5"/>
  <c r="C16" i="5"/>
  <c r="AA15" i="5"/>
  <c r="Z15" i="5"/>
  <c r="C15" i="5"/>
  <c r="AB8" i="5"/>
  <c r="Z8" i="5"/>
  <c r="AB7" i="5"/>
  <c r="Z7" i="5"/>
  <c r="C8" i="5"/>
  <c r="C7" i="5"/>
  <c r="C4" i="5"/>
  <c r="C3" i="5"/>
  <c r="AC33" i="5"/>
  <c r="AB33" i="5"/>
  <c r="AA33" i="5"/>
  <c r="Z33" i="5"/>
  <c r="AC32" i="5"/>
  <c r="AB32" i="5"/>
  <c r="AA32" i="5"/>
  <c r="Z32" i="5"/>
  <c r="AC31" i="5"/>
  <c r="AB31" i="5"/>
  <c r="AA31" i="5"/>
  <c r="Z31" i="5"/>
  <c r="AC30" i="5"/>
  <c r="AB30" i="5"/>
  <c r="AA30" i="5"/>
  <c r="Z30" i="5"/>
  <c r="AC27" i="5"/>
  <c r="AB27" i="5"/>
  <c r="AA27" i="5"/>
  <c r="Z27" i="5"/>
  <c r="AC26" i="5"/>
  <c r="AB26" i="5"/>
  <c r="AA26" i="5"/>
  <c r="Z26" i="5"/>
  <c r="AC19" i="5"/>
  <c r="AB19" i="5"/>
  <c r="AA19" i="5"/>
  <c r="Z19" i="5"/>
  <c r="AC18" i="5"/>
  <c r="AB18" i="5"/>
  <c r="AA18" i="5"/>
  <c r="Z18" i="5"/>
  <c r="AC17" i="5"/>
  <c r="AB17" i="5"/>
  <c r="AA17" i="5"/>
  <c r="Z17" i="5"/>
  <c r="AA10" i="5"/>
  <c r="Z10" i="5"/>
  <c r="AA9" i="5"/>
  <c r="Z9" i="5"/>
  <c r="AA6" i="5"/>
  <c r="Z6" i="5"/>
  <c r="AC5" i="5"/>
  <c r="AB5" i="5"/>
  <c r="AA5" i="5"/>
  <c r="Z5" i="5"/>
  <c r="AC2" i="5"/>
  <c r="AB2" i="5"/>
  <c r="AA2" i="5"/>
  <c r="Z2" i="5"/>
  <c r="C227" i="5"/>
  <c r="C228" i="5"/>
  <c r="V224" i="5"/>
  <c r="V225" i="5"/>
  <c r="C224" i="5"/>
  <c r="C225" i="5"/>
  <c r="V223" i="5"/>
  <c r="V222" i="5"/>
  <c r="C210" i="5"/>
  <c r="C211" i="5"/>
  <c r="C218" i="5"/>
  <c r="C219" i="5"/>
  <c r="C222" i="5"/>
  <c r="C223" i="5"/>
  <c r="W191" i="5"/>
  <c r="C191" i="5"/>
  <c r="W190" i="5"/>
  <c r="C190" i="5"/>
  <c r="C189" i="5"/>
  <c r="C188" i="5"/>
  <c r="C187" i="5"/>
  <c r="C186" i="5"/>
  <c r="W185" i="5"/>
  <c r="C185" i="5"/>
  <c r="W184" i="5"/>
  <c r="C184" i="5"/>
  <c r="C183" i="5"/>
  <c r="C182" i="5"/>
  <c r="C181" i="5"/>
  <c r="C180" i="5"/>
  <c r="W179" i="5"/>
  <c r="W178" i="5"/>
  <c r="C174" i="5"/>
  <c r="C175" i="5"/>
  <c r="C176" i="5"/>
  <c r="C177" i="5"/>
  <c r="C178" i="5"/>
  <c r="C179" i="5"/>
  <c r="C172" i="5"/>
  <c r="C173" i="5"/>
  <c r="C158" i="5"/>
  <c r="C159" i="5"/>
  <c r="C160" i="5"/>
  <c r="C161" i="5"/>
  <c r="C153" i="5"/>
  <c r="C154" i="5"/>
  <c r="C155" i="5"/>
  <c r="C156" i="5"/>
  <c r="C157" i="5"/>
  <c r="C152" i="5"/>
  <c r="C151" i="5"/>
  <c r="C150" i="5"/>
  <c r="C149" i="5"/>
  <c r="C148" i="5"/>
  <c r="V145" i="5"/>
  <c r="V144" i="5"/>
  <c r="C145" i="5"/>
  <c r="C144" i="5"/>
  <c r="C143" i="5"/>
  <c r="C139" i="5"/>
  <c r="C140" i="5"/>
  <c r="C141" i="5"/>
  <c r="C142" i="5"/>
  <c r="C138" i="5"/>
  <c r="C136" i="5"/>
  <c r="C137" i="5"/>
  <c r="C135" i="5"/>
  <c r="C110" i="5" l="1"/>
  <c r="C109" i="5"/>
  <c r="C108" i="5"/>
  <c r="C107" i="5"/>
  <c r="C106" i="5"/>
  <c r="C124" i="5"/>
  <c r="C123" i="5"/>
  <c r="C122" i="5"/>
  <c r="C121" i="5"/>
  <c r="C120" i="5"/>
  <c r="C104" i="5"/>
  <c r="C105" i="5"/>
  <c r="C103" i="5"/>
  <c r="C102" i="5"/>
  <c r="C99" i="5"/>
  <c r="C98" i="5"/>
  <c r="C91" i="5"/>
  <c r="C90" i="5"/>
  <c r="C89" i="5"/>
  <c r="C88" i="5"/>
  <c r="C87" i="5"/>
  <c r="C86" i="5"/>
  <c r="C79" i="5"/>
  <c r="C80" i="5"/>
  <c r="C81" i="5"/>
  <c r="C82" i="5"/>
  <c r="C83" i="5"/>
  <c r="C84" i="5"/>
  <c r="C85" i="5"/>
  <c r="C78" i="5"/>
  <c r="C77" i="5"/>
  <c r="C76" i="5"/>
  <c r="C75" i="5"/>
  <c r="C74" i="5"/>
  <c r="C73" i="5"/>
  <c r="C72" i="5"/>
  <c r="C71" i="5"/>
  <c r="C70" i="5"/>
  <c r="C67" i="5"/>
  <c r="C68" i="5"/>
  <c r="C69" i="5"/>
  <c r="C66" i="5"/>
  <c r="C44" i="5"/>
  <c r="C45" i="5"/>
  <c r="C46" i="5"/>
  <c r="C47" i="5"/>
  <c r="C43" i="5"/>
  <c r="C42" i="5"/>
  <c r="C33" i="5"/>
  <c r="C31" i="5"/>
  <c r="C32" i="5"/>
  <c r="C30" i="5"/>
  <c r="C27" i="5"/>
  <c r="C26" i="5"/>
  <c r="C19" i="5"/>
  <c r="C18" i="5"/>
  <c r="C17" i="5"/>
  <c r="C10" i="5"/>
  <c r="C9" i="5"/>
  <c r="C2" i="5"/>
  <c r="C5" i="5"/>
  <c r="C6" i="5"/>
</calcChain>
</file>

<file path=xl/sharedStrings.xml><?xml version="1.0" encoding="utf-8"?>
<sst xmlns="http://schemas.openxmlformats.org/spreadsheetml/2006/main" count="2907" uniqueCount="210">
  <si>
    <t>dataset_ID</t>
  </si>
  <si>
    <t>study_ID</t>
  </si>
  <si>
    <t>reference</t>
  </si>
  <si>
    <t>location</t>
  </si>
  <si>
    <t>lat</t>
  </si>
  <si>
    <t>lon</t>
  </si>
  <si>
    <t>year</t>
  </si>
  <si>
    <t>mat</t>
    <phoneticPr fontId="0" type="noConversion"/>
  </si>
  <si>
    <t>map</t>
    <phoneticPr fontId="0" type="noConversion"/>
  </si>
  <si>
    <t>man_code</t>
  </si>
  <si>
    <t>man_treatment</t>
  </si>
  <si>
    <t>man_control</t>
  </si>
  <si>
    <t xml:space="preserve">replication </t>
  </si>
  <si>
    <t>NUE</t>
  </si>
  <si>
    <t>LNP</t>
  </si>
  <si>
    <t>study ID</t>
  </si>
  <si>
    <t>reference (firstauthor_year_firstwordoftitle)</t>
  </si>
  <si>
    <t>full citation</t>
  </si>
  <si>
    <t>local production of insect, duckweed, microalgae, grass, faba bean as novel protein</t>
  </si>
  <si>
    <t>Martins_2021_Effect</t>
  </si>
  <si>
    <t>animal_type</t>
  </si>
  <si>
    <t>supplement_type</t>
  </si>
  <si>
    <t>microalgae</t>
  </si>
  <si>
    <t>cereal and soybean meal</t>
  </si>
  <si>
    <t xml:space="preserve">crude protein digesitibility </t>
  </si>
  <si>
    <t>FCR</t>
  </si>
  <si>
    <t>Spirulina</t>
  </si>
  <si>
    <t>Furbeyre_2017_Effects</t>
  </si>
  <si>
    <t>INRA, Saint-Gilles, France</t>
  </si>
  <si>
    <t>23% wheat, 25% corn, 24% barley and 23% soya bean meal</t>
  </si>
  <si>
    <t>supplement_category</t>
  </si>
  <si>
    <t>control_composition</t>
  </si>
  <si>
    <t>44% wheat, 15% corn, 25% soya bean meal, 10% whey powder, 3% soya bean oil</t>
  </si>
  <si>
    <t>Chlorella</t>
  </si>
  <si>
    <t>black soldier fly (Hermetia illucens)</t>
  </si>
  <si>
    <t>insect</t>
  </si>
  <si>
    <t>supplemental_rate</t>
  </si>
  <si>
    <t>pig</t>
  </si>
  <si>
    <t xml:space="preserve">Furbeyre, H.; Milgen, J.; Mene, T.; Gloaguen, M.; Labussière, E. (2017). Effects of dietary supplementation with freshwater microalgae on growth performance, nutrient digestibility and gut health in weaned piglets. Animal , 11, 183–192. </t>
  </si>
  <si>
    <t>Martins, C.F.; Pestana Assunção, J.; Ribeiro Santos, D.M.; Madeira, M.S.M.d.S.; Alfaia, C.M.R.P.M.; Lopes, P.A.A.B.; Coelho, D.F.M.; Cardoso Lemos, J.P.; de Almeida, A.M.; Mestre Prates, J.A.; et al. (2021). Effect of dietary inclusion of Spirulina on production performance, nutrient digestibility and meat quality traits in post-weaning piglets. J. Anim. Physiol. Anim. Nutr., 105, 247–259.</t>
  </si>
  <si>
    <t>Kambashi, B.; Kalala, G.; Dochain, D.; Mafwila, J.; Rollin, X.; Boudry, C.; Picron, P.; Bindelle, J. (2016). Nutritive value of three tropical forage legumes and their influence on growth performance, carcass traits and organ weights of pigs. Trop. Anim. Health Prod., 48, 1165–1173.</t>
  </si>
  <si>
    <t>Kambashi_2016_Nutritive</t>
  </si>
  <si>
    <t>legumes</t>
  </si>
  <si>
    <t>SOGENAC, Congo</t>
  </si>
  <si>
    <t>5° 25′S</t>
  </si>
  <si>
    <t>14° 49′E</t>
  </si>
  <si>
    <t>corn and soybean-based</t>
  </si>
  <si>
    <t>Vigna unguiculata</t>
  </si>
  <si>
    <t>Psophocarpus scandens</t>
  </si>
  <si>
    <t>Stylosanthes guianensis</t>
  </si>
  <si>
    <t>De Quelen, F.; Brossard, L.; Wilfart, A.; Dourmad, J.-Y.; Garcia-Launay, F. (2021). Eco-Friendly Feed Formulation and On-Farm Feed Production as Ways to Reduce the Environmental Impacts of Pig Production Without Consequences on Animal Performance. Front. Vet. Sci., 8, 689012.</t>
  </si>
  <si>
    <t>De Quelen_2021_Eco-friendly</t>
  </si>
  <si>
    <t xml:space="preserve">Biasato, I.; Renna, M.; Gai, F.; Dabbou, S.; Meneguz, M.; Perona, G.; Martinez, S.; Lajusticia, A.C.B.; Bergagna, S.; Sardi, L.; et al. (2019). Partially defatted black soldier fly larva meal inclusion in piglet diets: Effects on the growth performance, nutrient digestibility, blood profile, gut morphology and histological features. J. Anim. Sci. Biotechnol., 10, 1–11. </t>
  </si>
  <si>
    <t>Biasato_2019_Partially</t>
  </si>
  <si>
    <t xml:space="preserve">Sobotka_2021_The </t>
  </si>
  <si>
    <t>Degola, L., &amp; Jonkus, D. (2018). The influence of dietary inclusion of peas, faba bean and lupin as a replacement for soybean meal on pig performance and carcass traits.</t>
  </si>
  <si>
    <t>Degola_2018_The</t>
  </si>
  <si>
    <t>White, G. A., Smith, L. A., Houdijk, J. G. M., Homer, D., Kyriazakis, I., &amp; Wiseman, J. (2015). Replacement of soya bean meal with peas and faba beans in growing/finishing pig diets: Effect on performance, carcass composition and nutrient excretion. Animal Feed Science and Technology, 209, 202-210.</t>
  </si>
  <si>
    <t>White_2015_Replacement</t>
  </si>
  <si>
    <t>Yu, M., Li, Z., Chen, W., Rong, T., Wang, G., Li, J., &amp; Ma, X. (2019). Use of Hermetia illucens larvae as a dietary protein source: Effects on growth performance, carcass traits, and meat quality in finishing pigs. Meat Science, 158, 107837.</t>
  </si>
  <si>
    <t>Yu_2019_Use</t>
  </si>
  <si>
    <t>Saint Gilles, France</t>
  </si>
  <si>
    <t>32% corn, 22% barley, 20% soybean meal, 14% dried whey, 6% wheat</t>
  </si>
  <si>
    <t>38% corn, 22% barley, 18,5% soybean meal, 10% dried whey, 6% wheat</t>
  </si>
  <si>
    <t>Turin, Italy</t>
  </si>
  <si>
    <t>Spirulina platensis</t>
  </si>
  <si>
    <t>rapeseed</t>
  </si>
  <si>
    <t>fababean</t>
  </si>
  <si>
    <t>yellow lupine</t>
  </si>
  <si>
    <t>40%wheat, 40 barley, 16% soybean meal</t>
  </si>
  <si>
    <t>44%wheat, 43,6%barley, 9% soybean meal</t>
  </si>
  <si>
    <t>N retention</t>
  </si>
  <si>
    <t>poland</t>
  </si>
  <si>
    <t>lupin seed</t>
  </si>
  <si>
    <t>36,7% wheat, 30%barley, 15% soybean meal, 13% triticale</t>
  </si>
  <si>
    <t>stage</t>
  </si>
  <si>
    <t>growing</t>
  </si>
  <si>
    <t>finishing</t>
  </si>
  <si>
    <t>whole</t>
  </si>
  <si>
    <t>spring-coloured-flowered faba bean "Fuego"</t>
  </si>
  <si>
    <t xml:space="preserve">white-flowered peas "Prophet"	</t>
  </si>
  <si>
    <t xml:space="preserve">spring-coloured-flowered faba bean "Tattoo"	</t>
  </si>
  <si>
    <t>winter-coloured-flowered faba bean "Wizard"</t>
  </si>
  <si>
    <t>59,6% wheat, 12,8% barley, 14% soybean meal, 3% molasses, 7% ra[eseed</t>
  </si>
  <si>
    <t>46,4% wheat, 28,4% barley, 12% soybean meal, 3% molasses, 7% ra[eseed</t>
  </si>
  <si>
    <t>Coefficient of total tract apparent digestibility ((N intake – faecal N output)/N intake).</t>
  </si>
  <si>
    <t>black sodier fly (H. illucens) larvae</t>
  </si>
  <si>
    <t>Demann, J., Petersen, F., Dusel, G., Bog, M., Devlamynck, R., Ulbrich, A., ... &amp; Westendarp, H. (2022). Nutritional value of duckweed as protein feed for broiler chickens—digestibility of crude protein, amino acids and phosphorus. Animals, 13(1), 130.</t>
  </si>
  <si>
    <t>Demann_2022_Nutritional</t>
  </si>
  <si>
    <t>71% corn, 17% soybean meal, 6% wheat</t>
  </si>
  <si>
    <t>19,2% corn, 41% wheat, 10% triticale,10% peas, 5,5% barley, 8,4% soybean meal 8,5%</t>
  </si>
  <si>
    <t>Vreden, Germany</t>
  </si>
  <si>
    <t>chicken</t>
  </si>
  <si>
    <t>duckweed</t>
  </si>
  <si>
    <t>Spirodela polyrhiza</t>
  </si>
  <si>
    <t>Lemna obscura</t>
  </si>
  <si>
    <t>43,3%maize, 15% wheat, 26,1% soybean meal</t>
  </si>
  <si>
    <t>crude protein digestibility</t>
  </si>
  <si>
    <t>Neumann, C., Velten, S., &amp; Liebert, F. (2018). N balance studies emphasize the superior protein quality of pig diets at high inclusion level of algae meal (Spirulina platensis) or insect meal (Hermetia illucens) when adequate amino acid supplementation is ensured. Animals, 8(10), 172.</t>
  </si>
  <si>
    <t>Neumann_2018_N</t>
  </si>
  <si>
    <t>34%wheat, 34% barley, 8% soybean meal</t>
  </si>
  <si>
    <t>N digestibility</t>
  </si>
  <si>
    <t>N retention as Coefficient of apparent metabolisability ((N intake – faecal N output − urinary N output)/N intake).</t>
  </si>
  <si>
    <t>Lemna gibba</t>
  </si>
  <si>
    <t>Haustein, A. T., Gilman, R. H., Skillicorn, P. W., Guevara, V., Diaz, F., Vergara, V., ... &amp; Gilman, J. B. (1992). Compensatory growth in broiler chicks fed on Lemna gibba. British Journal of Nutrition, 68(2), 329-335.</t>
  </si>
  <si>
    <t>Haustein_1992_Compensatory</t>
  </si>
  <si>
    <t>56% yellow maize, 15% wheat middlings, 13%b fish meal, 13% soyabean meal</t>
  </si>
  <si>
    <t>60% yellow maize, 15% wheat middlings, 13%b fish meal, 10% soyabean meal</t>
  </si>
  <si>
    <t>12° 1' 26" s</t>
  </si>
  <si>
    <t>77° 3' 24" w</t>
  </si>
  <si>
    <t>Departamento de Fisiologia, Universidad Peruana Cayetano Heredia, Apartado 5045, Lima, Peru</t>
  </si>
  <si>
    <t>Khatun, M. J., Chowdhury, S. A., Salauddin, M., &amp; Khan, M. K. I. (2004). Effect of dietary inclusion of fresh or dry duckweed (Lemna pepusulla) on the performance of broiler. The Indian Journal of Animal Sciences, 74(7).</t>
  </si>
  <si>
    <t>Khatun_2004_Effect</t>
  </si>
  <si>
    <t>23.8887° N</t>
  </si>
  <si>
    <t xml:space="preserve"> 90.2739° E</t>
  </si>
  <si>
    <t>Bangladesh Livestock Research Institute</t>
  </si>
  <si>
    <t>30% wheat, 13% maize, 13,5% rice polish, 15% sesame oil cake, 15% soybean-meal, 10% fish meal</t>
  </si>
  <si>
    <t>fresh biomass</t>
  </si>
  <si>
    <t>dry biomass</t>
  </si>
  <si>
    <t>Nyende, P. W., Wang, L. F., Zijlstra, R. T., &amp; Beltranena, E. (2023). Energy, protein, and amino acid digestibility of mid-and zero-tannin faba bean differing in vicine and covicine content fed to growing pigs. Animal Feed Science and Technology, 295, 115521.</t>
  </si>
  <si>
    <t>Nyende_2023_Energy</t>
  </si>
  <si>
    <t>Swine Research and Technology Centre, University of Alberta (Edmonton, Alberta, Canada)</t>
  </si>
  <si>
    <t>53.52S</t>
  </si>
  <si>
    <t>113.52 W</t>
  </si>
  <si>
    <t>Snowbird faba bean</t>
  </si>
  <si>
    <t>Snowdrop faba bean</t>
  </si>
  <si>
    <t>Fabelle faba bean</t>
  </si>
  <si>
    <t>Florent faba bean</t>
  </si>
  <si>
    <t>71,2% sorn starch, 15% sugar, 5% solka floc, % canola oil</t>
  </si>
  <si>
    <t>Nyende, P. W., Wang, L. F., Zijlstra, R. T., &amp; Beltranena, E. (2022). Effect of feeding mid-or zero-tannin faba bean cultivars differing in vicine and covicine content on diet nutrient digestibility and growth performance of weaned pigs. Translational Animal Science, 6(2), txac049.</t>
  </si>
  <si>
    <t>Nyende_2022_Effect</t>
  </si>
  <si>
    <t>Snowbird</t>
  </si>
  <si>
    <t>Snowdrop</t>
  </si>
  <si>
    <t>Tabasco</t>
  </si>
  <si>
    <t>40% wheat, 20% fababean, 15% soyabean meal</t>
  </si>
  <si>
    <t>Fabelle</t>
  </si>
  <si>
    <t>Malik</t>
  </si>
  <si>
    <t>48% wheat, 30% fababean, 10% soyabean meal</t>
  </si>
  <si>
    <t>Perz, K., Nowaczewski, S., Kaczmarek, S. A., Cowieson, A. J., &amp; Hejdysz, M. (2022). Amylase supplementation improves starch and amino acids digestibility of faba bean for broilers.</t>
  </si>
  <si>
    <t>Perz_2022_Amylase</t>
  </si>
  <si>
    <t>country</t>
  </si>
  <si>
    <t>portugal</t>
  </si>
  <si>
    <t>france</t>
  </si>
  <si>
    <t>germany</t>
  </si>
  <si>
    <t>congo</t>
  </si>
  <si>
    <t>italy</t>
  </si>
  <si>
    <t>latvia</t>
  </si>
  <si>
    <t>uk</t>
  </si>
  <si>
    <t>china</t>
  </si>
  <si>
    <t>peru</t>
  </si>
  <si>
    <t>Cho, M., Smit, M. N., He, L., Kopmels, F. C., &amp; Beltranena, E. (2019). Effect of feeding zero-or high-tannin faba bean cultivars and dehulling on growth performance, carcass traits and yield of saleable cuts of broiler chickens. Journal of applied poultry research, 28(4), 1305-1323.</t>
  </si>
  <si>
    <t>Cho_2019_effect</t>
  </si>
  <si>
    <t>canada</t>
  </si>
  <si>
    <t>Vicia faba L.</t>
  </si>
  <si>
    <t>57% wheat, 20% soybean meal, 10% canola seed, 10% fish meal</t>
  </si>
  <si>
    <t>57% wheat, 20% soybean meal, 15% canola seed, 5% fish meal</t>
  </si>
  <si>
    <t>56% wheat, 20% soybean meal, 20% canola seed</t>
  </si>
  <si>
    <t xml:space="preserve">Snowbird </t>
  </si>
  <si>
    <t xml:space="preserve">Snowdrop </t>
  </si>
  <si>
    <t xml:space="preserve">Fabelle </t>
  </si>
  <si>
    <t>dehulled</t>
  </si>
  <si>
    <t>non-dehulled</t>
  </si>
  <si>
    <t>Hejdysz, M., Kaczmarek, S. A., Kubiś, M., Adamski, M., Perz, K., &amp; Rutkowski, A. (2019). The effect of faba bean extrusion on the growth performance, nutrient utilization, metabolizable energy, excretion of sialic acids and meat quality of broiler chickens. animal, 13(8), 1583-1590.</t>
  </si>
  <si>
    <t>Hejdysz_2019_The</t>
  </si>
  <si>
    <t>Raw faba bean</t>
  </si>
  <si>
    <t>Extruded faba bean</t>
  </si>
  <si>
    <t>31% maize, 26% soybean meal, 30% fababean, 8,5% soybean oil</t>
  </si>
  <si>
    <t>Sobotka, W., &amp; Fiedorowicz-Szatkowska, E. (2021). The effect of replacing genetically modified soybean meal with 00-rapeseed meal, faba bean and yellow lupine in grower-finisher diets on nutrient digestibility, nitrogen retention, selected blood biochemical parameters and fattening performance of pigs. Animals, 11(4), 960.</t>
  </si>
  <si>
    <t>Keto, L., Tsitko, I., Perttilä, S., Särkijärvi, S., Immonen, N., Kytölä, K., ... &amp; Rinne, M. (2021). Effect of silage juice feeding on pig production performance, meat quality and gut microbiome. Livestock Science, 254, 104728.</t>
  </si>
  <si>
    <t>Keto_2021_Effect</t>
  </si>
  <si>
    <t>Stødkilde, L., Ambye-Jensen, M., &amp; Jensen, S. K. (2021). Biorefined organic grass-clover protein concentrate for growing pigs: effect on growth performance and meat fatty acid profile. Animal Feed Science and Technology, 276, 114943.</t>
  </si>
  <si>
    <t>Stødkilde_2021_Biorefined</t>
  </si>
  <si>
    <t>69% barley, 22% wet barley protein, 9% commercial vitamin, mineral and proten concentrate</t>
  </si>
  <si>
    <t>finland</t>
  </si>
  <si>
    <t>denmark</t>
  </si>
  <si>
    <t>25 % red clover (Trifolium pratense; Callisto), 5 % white clover (Trifolium repens, L; Silvester), 33 % hybrid ryegrass (Italian Ryegrass x meadow fescue) (Festulolium; Perseus), 8 % perennial ryegrass (Lolium perenne, L; Abosan 1), 8 % perennial ryegrass (Lolium perenne, L; Calvano 1), 16 % perennial ryegrass (Lolium perenne, L; Humbi 1), and 5 % Red fescue (Festuca rubra; Gondolin)</t>
  </si>
  <si>
    <t>Aarhus University, Foulum</t>
  </si>
  <si>
    <t xml:space="preserve">56.49S </t>
  </si>
  <si>
    <t>9.58W</t>
  </si>
  <si>
    <t>Department of Animal Nutrition, University of Life Sciences in Poznań, Poland</t>
  </si>
  <si>
    <t>Department of Agricultural, Food &amp; Nutritional Science, University of Alberta, Edmonton, AB, Canada</t>
  </si>
  <si>
    <t>Latvia University of Life Sciences and Technologies, Institute of Agrobiotechnology,
Liela 2, LV3001 Jelgava, Latvia</t>
  </si>
  <si>
    <t>Bangladesh</t>
  </si>
  <si>
    <t>Department of Animal Nutrition and Feed Science, University of Warmia and Mazury in Olsztyn, Oczapowskiego 5, 10-719 Olsztyn, Poland</t>
  </si>
  <si>
    <t>Department of Animal Sciences, Division Animal Nutrition Physiology, Georg-August-University of Goettingen, Kellnerweg 6, 37077 Goettingen, Germany</t>
  </si>
  <si>
    <t>Centro de Investigação Interdisciplinar em Sanidade Animal, Faculdade de Medicina Veterinária, Universidade de Lisboa, Lisboa, Portugal</t>
  </si>
  <si>
    <t>Division of Animal Sciences, School of Biosciences, Sutton Bonington Campus, University of Nottingham, Loughborough, LeicestershireLE12 5RD, UK</t>
  </si>
  <si>
    <t>Institute of Animal Science, Guangdong Academy of Agricultural Sciences, Guangzhou, Guangdong 510640, China</t>
  </si>
  <si>
    <t>Natural Resources Institute Finland, Production Systems unit, Animale, Tietotie 2 C, Jokioinen 31600, Finland</t>
  </si>
  <si>
    <t>Department of Animal Breeding and Product Quality Assessment, Poznan University of Life Sciences, Poland</t>
  </si>
  <si>
    <t>32% organic barley, 24,3% organic wheat, 19,1% soybean, 10% organic peas, 3,8% organic oats</t>
  </si>
  <si>
    <t>control_CP%DW</t>
  </si>
  <si>
    <t>kpi_type</t>
  </si>
  <si>
    <t>kpi_treat_sd</t>
  </si>
  <si>
    <t>kpi_control_sd</t>
  </si>
  <si>
    <t>DCP</t>
  </si>
  <si>
    <r>
      <t>Spirulina (</t>
    </r>
    <r>
      <rPr>
        <i/>
        <sz val="10"/>
        <color theme="1"/>
        <rFont val="Calibri"/>
        <family val="2"/>
        <scheme val="minor"/>
      </rPr>
      <t>Arthrospira platensis</t>
    </r>
    <r>
      <rPr>
        <sz val="10"/>
        <color theme="1"/>
        <rFont val="Calibri"/>
        <family val="2"/>
        <scheme val="minor"/>
      </rPr>
      <t>) at 10% feed DW</t>
    </r>
  </si>
  <si>
    <r>
      <t>a mixture of </t>
    </r>
    <r>
      <rPr>
        <i/>
        <sz val="8"/>
        <color theme="1"/>
        <rFont val="Arial"/>
        <family val="2"/>
      </rPr>
      <t>Lemna minuta</t>
    </r>
    <r>
      <rPr>
        <sz val="8"/>
        <color theme="1"/>
        <rFont val="Arial"/>
        <family val="2"/>
      </rPr>
      <t> and </t>
    </r>
    <r>
      <rPr>
        <i/>
        <sz val="8"/>
        <color theme="1"/>
        <rFont val="Arial"/>
        <family val="2"/>
      </rPr>
      <t>Lemna minor</t>
    </r>
  </si>
  <si>
    <t>feed conversion ratio</t>
  </si>
  <si>
    <t>26 % red clover (Trifolium pratense; Callisto), 5 % white clover (Trifolium repens, L; Silvester), 33 % hybrid ryegrass (Italian Ryegrass x meadow fescue) (Festulolium; Perseus), 8 % perennial ryegrass (Lolium perenne, L; Abosan 1), 8 % perennial ryegrass (Lolium perenne, L; Calvano 1), 16 % perennial ryegrass (Lolium perenne, L; Humbi 1), and 5 % Red fescue (Festuca rubra; Gondolin)</t>
  </si>
  <si>
    <t>27 % red clover (Trifolium pratense; Callisto), 5 % white clover (Trifolium repens, L; Silvester), 33 % hybrid ryegrass (Italian Ryegrass x meadow fescue) (Festulolium; Perseus), 8 % perennial ryegrass (Lolium perenne, L; Abosan 1), 8 % perennial ryegrass (Lolium perenne, L; Calvano 1), 16 % perennial ryegrass (Lolium perenne, L; Humbi 1), and 5 % Red fescue (Festuca rubra; Gondolin)</t>
  </si>
  <si>
    <t>%Feed DW</t>
  </si>
  <si>
    <t>kpi</t>
  </si>
  <si>
    <t>grassjuice</t>
  </si>
  <si>
    <t>kpi_treat_mean</t>
  </si>
  <si>
    <t>kpi_control_mean</t>
  </si>
  <si>
    <t>duration_days</t>
  </si>
  <si>
    <t>starting</t>
  </si>
  <si>
    <t>average daily weight gain in weight of individual animal</t>
  </si>
  <si>
    <t>ADG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</si>
</sst>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11"/>
      <name val="Calibri"/>
      <family val="2"/>
      <scheme val="minor"/>
    </font>
    <font>
      <sz val="11"/>
      <color theme="0" tint="-0.34998626667073579"/>
      <name val="Calibri"/>
      <family val="2"/>
      <scheme val="minor"/>
    </font>
    <font>
      <sz val="10"/>
      <color theme="1"/>
      <name val="Calibri"/>
      <family val="2"/>
      <scheme val="minor"/>
    </font>
    <font>
      <sz val="10"/>
      <color theme="1"/>
      <name val="Arial"/>
      <family val="2"/>
    </font>
    <font>
      <i/>
      <sz val="10"/>
      <color theme="1"/>
      <name val="Calibri"/>
      <family val="2"/>
      <scheme val="minor"/>
    </font>
    <font>
      <i/>
      <sz val="8"/>
      <color theme="1"/>
      <name val="Arial"/>
      <family val="2"/>
    </font>
    <font>
      <sz val="8"/>
      <color theme="1"/>
      <name val="Arial"/>
      <family val="2"/>
    </font>
    <font>
      <b/>
      <sz val="8"/>
      <color theme="1"/>
      <name val="Arial"/>
      <family val="2"/>
    </font>
    <font>
      <sz val="8"/>
      <name val="Calibri"/>
      <family val="2"/>
      <scheme val="minor"/>
    </font>
    <font>
      <b/>
      <sz val="11"/>
      <color rgb="FFFF0000"/>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diagonal/>
    </border>
  </borders>
  <cellStyleXfs count="1">
    <xf numFmtId="0" fontId="0" fillId="0" borderId="0"/>
  </cellStyleXfs>
  <cellXfs count="12">
    <xf numFmtId="0" fontId="0" fillId="0" borderId="0" xfId="0"/>
    <xf numFmtId="0" fontId="0" fillId="2" borderId="0" xfId="0" applyFill="1"/>
    <xf numFmtId="0" fontId="1" fillId="2" borderId="0" xfId="0" applyFont="1" applyFill="1"/>
    <xf numFmtId="0" fontId="2" fillId="0" borderId="0" xfId="0" applyFont="1"/>
    <xf numFmtId="0" fontId="0" fillId="2" borderId="1" xfId="0" applyFill="1" applyBorder="1"/>
    <xf numFmtId="0" fontId="4" fillId="0" borderId="0" xfId="0" applyFont="1"/>
    <xf numFmtId="0" fontId="3" fillId="0" borderId="0" xfId="0" applyFont="1"/>
    <xf numFmtId="2" fontId="0" fillId="0" borderId="0" xfId="0" applyNumberFormat="1"/>
    <xf numFmtId="0" fontId="8" fillId="0" borderId="0" xfId="0" applyFont="1"/>
    <xf numFmtId="0" fontId="10" fillId="2" borderId="1" xfId="0" applyFont="1" applyFill="1" applyBorder="1"/>
    <xf numFmtId="2" fontId="10" fillId="2" borderId="1" xfId="0" applyNumberFormat="1" applyFont="1" applyFill="1" applyBorder="1"/>
    <xf numFmtId="0" fontId="10" fillId="2" borderId="0" xfId="0" applyFont="1" applyFill="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7FEFC6-BC40-4DCD-8388-E64B4A518A3D}">
  <dimension ref="A1:AC231"/>
  <sheetViews>
    <sheetView tabSelected="1" topLeftCell="A195" zoomScale="74" zoomScaleNormal="10" workbookViewId="0">
      <selection activeCell="X214" sqref="X214"/>
    </sheetView>
  </sheetViews>
  <sheetFormatPr defaultRowHeight="14.4" x14ac:dyDescent="0.3"/>
  <cols>
    <col min="1" max="1" width="10.33203125" customWidth="1"/>
    <col min="2" max="2" width="7.88671875" customWidth="1"/>
    <col min="6" max="6" width="3.109375" bestFit="1" customWidth="1"/>
    <col min="7" max="7" width="3.5546875" bestFit="1" customWidth="1"/>
    <col min="8" max="8" width="7.88671875" bestFit="1" customWidth="1"/>
    <col min="9" max="9" width="4.5546875" bestFit="1" customWidth="1"/>
    <col min="10" max="10" width="4.33203125" bestFit="1" customWidth="1"/>
    <col min="11" max="11" width="4.5546875" bestFit="1" customWidth="1"/>
    <col min="12" max="12" width="9.5546875" bestFit="1" customWidth="1"/>
    <col min="13" max="13" width="13.88671875" bestFit="1" customWidth="1"/>
    <col min="14" max="14" width="11.44140625" bestFit="1" customWidth="1"/>
    <col min="15" max="15" width="11.44140625" customWidth="1"/>
    <col min="16" max="16" width="9.6640625" customWidth="1"/>
    <col min="17" max="17" width="11.44140625" customWidth="1"/>
    <col min="18" max="18" width="13.77734375" customWidth="1"/>
    <col min="19" max="20" width="14.77734375" customWidth="1"/>
    <col min="21" max="21" width="9.6640625" bestFit="1" customWidth="1"/>
    <col min="22" max="22" width="9.6640625" style="7" bestFit="1" customWidth="1"/>
    <col min="23" max="23" width="10.109375" bestFit="1" customWidth="1"/>
    <col min="24" max="29" width="10.109375" customWidth="1"/>
  </cols>
  <sheetData>
    <row r="1" spans="1:29" x14ac:dyDescent="0.3">
      <c r="A1" s="4" t="s">
        <v>1</v>
      </c>
      <c r="B1" s="4" t="s">
        <v>0</v>
      </c>
      <c r="C1" s="4" t="s">
        <v>2</v>
      </c>
      <c r="D1" s="4" t="s">
        <v>140</v>
      </c>
      <c r="E1" s="4" t="s">
        <v>3</v>
      </c>
      <c r="F1" s="4" t="s">
        <v>4</v>
      </c>
      <c r="G1" s="4" t="s">
        <v>5</v>
      </c>
      <c r="H1" s="4" t="s">
        <v>206</v>
      </c>
      <c r="I1" s="4" t="s">
        <v>6</v>
      </c>
      <c r="J1" s="4" t="s">
        <v>7</v>
      </c>
      <c r="K1" s="4" t="s">
        <v>8</v>
      </c>
      <c r="L1" s="4" t="s">
        <v>9</v>
      </c>
      <c r="M1" s="4" t="s">
        <v>10</v>
      </c>
      <c r="N1" s="4" t="s">
        <v>11</v>
      </c>
      <c r="O1" s="4" t="s">
        <v>31</v>
      </c>
      <c r="P1" s="9" t="s">
        <v>191</v>
      </c>
      <c r="Q1" s="9" t="s">
        <v>20</v>
      </c>
      <c r="R1" s="9" t="s">
        <v>30</v>
      </c>
      <c r="S1" s="4" t="s">
        <v>21</v>
      </c>
      <c r="T1" s="9" t="s">
        <v>201</v>
      </c>
      <c r="U1" s="9" t="s">
        <v>75</v>
      </c>
      <c r="V1" s="10" t="s">
        <v>36</v>
      </c>
      <c r="W1" s="4" t="s">
        <v>12</v>
      </c>
      <c r="X1" s="1" t="s">
        <v>202</v>
      </c>
      <c r="Y1" s="11" t="s">
        <v>192</v>
      </c>
      <c r="Z1" s="1" t="s">
        <v>204</v>
      </c>
      <c r="AA1" s="1" t="s">
        <v>193</v>
      </c>
      <c r="AB1" s="1" t="s">
        <v>205</v>
      </c>
      <c r="AC1" s="1" t="s">
        <v>194</v>
      </c>
    </row>
    <row r="2" spans="1:29" x14ac:dyDescent="0.3">
      <c r="A2">
        <v>1</v>
      </c>
      <c r="B2">
        <v>1</v>
      </c>
      <c r="C2" t="str">
        <f ca="1">LOOKUP(A2,RQ3_reference!A$2:A$199,RQ3_reference!B$2:B$196)</f>
        <v>Martins_2021_Effect</v>
      </c>
      <c r="D2" t="s">
        <v>141</v>
      </c>
      <c r="E2" s="5" t="s">
        <v>185</v>
      </c>
      <c r="H2">
        <v>28</v>
      </c>
      <c r="L2" t="s">
        <v>14</v>
      </c>
      <c r="M2" t="s">
        <v>18</v>
      </c>
      <c r="N2" t="s">
        <v>23</v>
      </c>
      <c r="O2" t="s">
        <v>32</v>
      </c>
      <c r="P2">
        <v>17.899999999999999</v>
      </c>
      <c r="Q2" s="6" t="s">
        <v>37</v>
      </c>
      <c r="R2" s="6" t="s">
        <v>22</v>
      </c>
      <c r="S2" s="6" t="s">
        <v>196</v>
      </c>
      <c r="T2" s="6">
        <v>10</v>
      </c>
      <c r="U2" t="s">
        <v>76</v>
      </c>
      <c r="V2" s="7">
        <v>0.56000000000000005</v>
      </c>
      <c r="W2">
        <v>10</v>
      </c>
      <c r="X2" t="s">
        <v>208</v>
      </c>
      <c r="Y2" t="s">
        <v>209</v>
      </c>
      <c r="Z2">
        <f>(28.3-11.7)/28</f>
        <v>0.59285714285714286</v>
      </c>
      <c r="AA2">
        <f>0.25/28</f>
        <v>8.9285714285714281E-3</v>
      </c>
      <c r="AB2">
        <f>(31-12.1)/28</f>
        <v>0.67499999999999993</v>
      </c>
      <c r="AC2">
        <f>0.25/28</f>
        <v>8.9285714285714281E-3</v>
      </c>
    </row>
    <row r="3" spans="1:29" x14ac:dyDescent="0.3">
      <c r="A3">
        <v>1</v>
      </c>
      <c r="B3">
        <v>2</v>
      </c>
      <c r="C3" t="str">
        <f ca="1">LOOKUP(A3,RQ3_reference!A$2:A$199,RQ3_reference!B$2:B$196)</f>
        <v>Martins_2021_Effect</v>
      </c>
      <c r="D3" t="s">
        <v>141</v>
      </c>
      <c r="E3" s="5" t="s">
        <v>185</v>
      </c>
      <c r="H3">
        <v>28</v>
      </c>
      <c r="L3" t="s">
        <v>14</v>
      </c>
      <c r="M3" t="s">
        <v>18</v>
      </c>
      <c r="N3" t="s">
        <v>23</v>
      </c>
      <c r="O3" t="s">
        <v>32</v>
      </c>
      <c r="P3">
        <v>17.899999999999999</v>
      </c>
      <c r="Q3" s="6" t="s">
        <v>37</v>
      </c>
      <c r="R3" s="6" t="s">
        <v>22</v>
      </c>
      <c r="S3" s="6" t="s">
        <v>196</v>
      </c>
      <c r="T3" s="6">
        <v>10</v>
      </c>
      <c r="U3" t="s">
        <v>76</v>
      </c>
      <c r="V3" s="7">
        <v>0.56000000000000005</v>
      </c>
      <c r="W3">
        <v>10</v>
      </c>
      <c r="X3" t="s">
        <v>24</v>
      </c>
      <c r="Y3" t="s">
        <v>195</v>
      </c>
      <c r="Z3">
        <v>73.2</v>
      </c>
      <c r="AA3">
        <v>0.81</v>
      </c>
      <c r="AB3">
        <v>80.599999999999994</v>
      </c>
      <c r="AC3">
        <v>0.81</v>
      </c>
    </row>
    <row r="4" spans="1:29" x14ac:dyDescent="0.3">
      <c r="A4">
        <v>1</v>
      </c>
      <c r="B4">
        <v>3</v>
      </c>
      <c r="C4" t="str">
        <f ca="1">LOOKUP(A4,RQ3_reference!A$2:A$199,RQ3_reference!B$2:B$196)</f>
        <v>Martins_2021_Effect</v>
      </c>
      <c r="D4" t="s">
        <v>141</v>
      </c>
      <c r="E4" s="5" t="s">
        <v>185</v>
      </c>
      <c r="H4">
        <v>28</v>
      </c>
      <c r="L4" t="s">
        <v>14</v>
      </c>
      <c r="M4" t="s">
        <v>18</v>
      </c>
      <c r="N4" t="s">
        <v>23</v>
      </c>
      <c r="O4" t="s">
        <v>32</v>
      </c>
      <c r="P4">
        <v>17.899999999999999</v>
      </c>
      <c r="Q4" s="6" t="s">
        <v>37</v>
      </c>
      <c r="R4" s="6" t="s">
        <v>22</v>
      </c>
      <c r="S4" s="6" t="s">
        <v>196</v>
      </c>
      <c r="T4" s="6">
        <v>10</v>
      </c>
      <c r="U4" t="s">
        <v>76</v>
      </c>
      <c r="V4" s="7">
        <v>0.56000000000000005</v>
      </c>
      <c r="W4">
        <v>10</v>
      </c>
      <c r="X4" t="s">
        <v>198</v>
      </c>
      <c r="Y4" t="s">
        <v>25</v>
      </c>
      <c r="Z4">
        <v>1.62</v>
      </c>
      <c r="AA4">
        <v>2.3E-2</v>
      </c>
      <c r="AB4">
        <v>1.48</v>
      </c>
      <c r="AC4">
        <v>2.3E-2</v>
      </c>
    </row>
    <row r="5" spans="1:29" s="3" customFormat="1" x14ac:dyDescent="0.3">
      <c r="A5">
        <v>2</v>
      </c>
      <c r="B5">
        <v>4</v>
      </c>
      <c r="C5" t="str">
        <f ca="1">LOOKUP(A5,RQ3_reference!A$2:A$199,RQ3_reference!B$2:B$196)</f>
        <v>Furbeyre_2017_Effects</v>
      </c>
      <c r="D5" t="s">
        <v>142</v>
      </c>
      <c r="E5" t="s">
        <v>28</v>
      </c>
      <c r="F5"/>
      <c r="G5"/>
      <c r="H5">
        <v>14</v>
      </c>
      <c r="I5"/>
      <c r="J5"/>
      <c r="K5"/>
      <c r="L5" t="s">
        <v>14</v>
      </c>
      <c r="M5" t="s">
        <v>18</v>
      </c>
      <c r="N5" t="s">
        <v>23</v>
      </c>
      <c r="O5" t="s">
        <v>29</v>
      </c>
      <c r="P5">
        <v>20.62</v>
      </c>
      <c r="Q5" s="6" t="s">
        <v>37</v>
      </c>
      <c r="R5" s="6" t="s">
        <v>22</v>
      </c>
      <c r="S5" s="6" t="s">
        <v>26</v>
      </c>
      <c r="T5" s="6">
        <v>1</v>
      </c>
      <c r="U5" t="s">
        <v>76</v>
      </c>
      <c r="V5" s="7">
        <v>0.01</v>
      </c>
      <c r="W5">
        <v>17</v>
      </c>
      <c r="X5" t="s">
        <v>208</v>
      </c>
      <c r="Y5" t="s">
        <v>209</v>
      </c>
      <c r="Z5">
        <f>(12.3-9.1)/14</f>
        <v>0.22857142857142865</v>
      </c>
      <c r="AA5">
        <f>0.8/14</f>
        <v>5.7142857142857148E-2</v>
      </c>
      <c r="AB5">
        <f>(12.4-9.2)/14</f>
        <v>0.22857142857142865</v>
      </c>
      <c r="AC5">
        <f>0.8/14</f>
        <v>5.7142857142857148E-2</v>
      </c>
    </row>
    <row r="6" spans="1:29" s="3" customFormat="1" x14ac:dyDescent="0.3">
      <c r="A6">
        <v>2</v>
      </c>
      <c r="B6">
        <v>5</v>
      </c>
      <c r="C6" t="str">
        <f ca="1">LOOKUP(A6,RQ3_reference!A$2:A$199,RQ3_reference!B$2:B$196)</f>
        <v>Furbeyre_2017_Effects</v>
      </c>
      <c r="D6" t="s">
        <v>142</v>
      </c>
      <c r="E6" t="s">
        <v>28</v>
      </c>
      <c r="F6"/>
      <c r="G6"/>
      <c r="H6">
        <v>14</v>
      </c>
      <c r="I6"/>
      <c r="J6"/>
      <c r="K6"/>
      <c r="L6" t="s">
        <v>14</v>
      </c>
      <c r="M6" t="s">
        <v>18</v>
      </c>
      <c r="N6" t="s">
        <v>23</v>
      </c>
      <c r="O6" t="s">
        <v>29</v>
      </c>
      <c r="P6">
        <v>20.62</v>
      </c>
      <c r="Q6" s="6" t="s">
        <v>37</v>
      </c>
      <c r="R6" s="6" t="s">
        <v>22</v>
      </c>
      <c r="S6" t="s">
        <v>33</v>
      </c>
      <c r="T6" s="6">
        <v>1</v>
      </c>
      <c r="U6" t="s">
        <v>76</v>
      </c>
      <c r="V6" s="7">
        <v>0.01</v>
      </c>
      <c r="W6">
        <v>17</v>
      </c>
      <c r="X6" t="s">
        <v>208</v>
      </c>
      <c r="Y6" t="s">
        <v>209</v>
      </c>
      <c r="Z6">
        <f>(12.6-9.2)/14</f>
        <v>0.24285714285714288</v>
      </c>
      <c r="AA6">
        <f>0.8/14</f>
        <v>5.7142857142857148E-2</v>
      </c>
      <c r="AB6">
        <f>(12.4-9.2)/14</f>
        <v>0.22857142857142865</v>
      </c>
      <c r="AC6">
        <f>0.8/14</f>
        <v>5.7142857142857148E-2</v>
      </c>
    </row>
    <row r="7" spans="1:29" s="3" customFormat="1" x14ac:dyDescent="0.3">
      <c r="A7">
        <v>2</v>
      </c>
      <c r="B7">
        <v>6</v>
      </c>
      <c r="C7" t="str">
        <f ca="1">LOOKUP(A7,RQ3_reference!A$2:A$199,RQ3_reference!B$2:B$196)</f>
        <v>Furbeyre_2017_Effects</v>
      </c>
      <c r="D7" t="s">
        <v>142</v>
      </c>
      <c r="E7" t="s">
        <v>28</v>
      </c>
      <c r="F7"/>
      <c r="G7"/>
      <c r="H7">
        <v>14</v>
      </c>
      <c r="I7"/>
      <c r="J7"/>
      <c r="K7"/>
      <c r="L7" t="s">
        <v>14</v>
      </c>
      <c r="M7" t="s">
        <v>18</v>
      </c>
      <c r="N7" t="s">
        <v>23</v>
      </c>
      <c r="O7" t="s">
        <v>29</v>
      </c>
      <c r="P7">
        <v>20.62</v>
      </c>
      <c r="Q7" s="6" t="s">
        <v>37</v>
      </c>
      <c r="R7" s="6" t="s">
        <v>22</v>
      </c>
      <c r="S7" s="6" t="s">
        <v>26</v>
      </c>
      <c r="T7" s="6">
        <v>1</v>
      </c>
      <c r="U7" t="s">
        <v>76</v>
      </c>
      <c r="V7" s="7">
        <v>0.01</v>
      </c>
      <c r="W7">
        <v>17</v>
      </c>
      <c r="X7" t="s">
        <v>198</v>
      </c>
      <c r="Y7" t="s">
        <v>25</v>
      </c>
      <c r="Z7" s="7">
        <f>1/0.63</f>
        <v>1.5873015873015872</v>
      </c>
      <c r="AA7"/>
      <c r="AB7" s="7">
        <f>1/0.66</f>
        <v>1.5151515151515151</v>
      </c>
      <c r="AC7"/>
    </row>
    <row r="8" spans="1:29" s="3" customFormat="1" x14ac:dyDescent="0.3">
      <c r="A8">
        <v>2</v>
      </c>
      <c r="B8">
        <v>7</v>
      </c>
      <c r="C8" t="str">
        <f ca="1">LOOKUP(A8,RQ3_reference!A$2:A$199,RQ3_reference!B$2:B$196)</f>
        <v>Furbeyre_2017_Effects</v>
      </c>
      <c r="D8" t="s">
        <v>142</v>
      </c>
      <c r="E8" t="s">
        <v>28</v>
      </c>
      <c r="F8"/>
      <c r="G8"/>
      <c r="H8">
        <v>14</v>
      </c>
      <c r="I8"/>
      <c r="J8"/>
      <c r="K8"/>
      <c r="L8" t="s">
        <v>14</v>
      </c>
      <c r="M8" t="s">
        <v>18</v>
      </c>
      <c r="N8" t="s">
        <v>23</v>
      </c>
      <c r="O8" t="s">
        <v>29</v>
      </c>
      <c r="P8">
        <v>20.62</v>
      </c>
      <c r="Q8" s="6" t="s">
        <v>37</v>
      </c>
      <c r="R8" s="6" t="s">
        <v>22</v>
      </c>
      <c r="S8" t="s">
        <v>33</v>
      </c>
      <c r="T8" s="6">
        <v>1</v>
      </c>
      <c r="U8" t="s">
        <v>76</v>
      </c>
      <c r="V8" s="7">
        <v>0.01</v>
      </c>
      <c r="W8">
        <v>17</v>
      </c>
      <c r="X8" t="s">
        <v>198</v>
      </c>
      <c r="Y8" t="s">
        <v>25</v>
      </c>
      <c r="Z8" s="7">
        <f>1/0.71</f>
        <v>1.4084507042253522</v>
      </c>
      <c r="AA8"/>
      <c r="AB8" s="7">
        <f>1/0.66</f>
        <v>1.5151515151515151</v>
      </c>
      <c r="AC8"/>
    </row>
    <row r="9" spans="1:29" s="3" customFormat="1" x14ac:dyDescent="0.3">
      <c r="A9">
        <v>2</v>
      </c>
      <c r="B9">
        <v>8</v>
      </c>
      <c r="C9" t="str">
        <f ca="1">LOOKUP(A9,RQ3_reference!A$2:A$199,RQ3_reference!B$2:B$196)</f>
        <v>Furbeyre_2017_Effects</v>
      </c>
      <c r="D9" t="s">
        <v>142</v>
      </c>
      <c r="E9" t="s">
        <v>28</v>
      </c>
      <c r="F9"/>
      <c r="G9"/>
      <c r="H9">
        <v>14</v>
      </c>
      <c r="I9"/>
      <c r="J9"/>
      <c r="K9"/>
      <c r="L9" t="s">
        <v>14</v>
      </c>
      <c r="M9" t="s">
        <v>18</v>
      </c>
      <c r="N9" t="s">
        <v>23</v>
      </c>
      <c r="O9" t="s">
        <v>29</v>
      </c>
      <c r="P9">
        <v>20.62</v>
      </c>
      <c r="Q9" s="6" t="s">
        <v>37</v>
      </c>
      <c r="R9" s="6" t="s">
        <v>22</v>
      </c>
      <c r="S9" s="6" t="s">
        <v>26</v>
      </c>
      <c r="T9" s="6">
        <v>1</v>
      </c>
      <c r="U9" t="s">
        <v>77</v>
      </c>
      <c r="V9" s="7">
        <v>0.01</v>
      </c>
      <c r="W9">
        <v>6</v>
      </c>
      <c r="X9" t="s">
        <v>208</v>
      </c>
      <c r="Y9" t="s">
        <v>209</v>
      </c>
      <c r="Z9">
        <f>(13.8-9.1)/14</f>
        <v>0.3357142857142858</v>
      </c>
      <c r="AA9">
        <f t="shared" ref="AA9:AC16" si="0">0.1/14</f>
        <v>7.1428571428571435E-3</v>
      </c>
      <c r="AB9">
        <f>(14-9.1)/14</f>
        <v>0.35000000000000003</v>
      </c>
      <c r="AC9">
        <f t="shared" si="0"/>
        <v>7.1428571428571435E-3</v>
      </c>
    </row>
    <row r="10" spans="1:29" s="3" customFormat="1" x14ac:dyDescent="0.3">
      <c r="A10">
        <v>2</v>
      </c>
      <c r="B10">
        <v>9</v>
      </c>
      <c r="C10" t="str">
        <f ca="1">LOOKUP(A10,RQ3_reference!A$2:A$199,RQ3_reference!B$2:B$196)</f>
        <v>Furbeyre_2017_Effects</v>
      </c>
      <c r="D10" t="s">
        <v>142</v>
      </c>
      <c r="E10" t="s">
        <v>28</v>
      </c>
      <c r="F10"/>
      <c r="G10"/>
      <c r="H10">
        <v>14</v>
      </c>
      <c r="I10"/>
      <c r="J10"/>
      <c r="K10"/>
      <c r="L10" t="s">
        <v>14</v>
      </c>
      <c r="M10" t="s">
        <v>18</v>
      </c>
      <c r="N10" t="s">
        <v>23</v>
      </c>
      <c r="O10" t="s">
        <v>29</v>
      </c>
      <c r="P10">
        <v>20.62</v>
      </c>
      <c r="Q10" s="6" t="s">
        <v>37</v>
      </c>
      <c r="R10" s="6" t="s">
        <v>22</v>
      </c>
      <c r="S10" t="s">
        <v>33</v>
      </c>
      <c r="T10" s="6">
        <v>1</v>
      </c>
      <c r="U10" t="s">
        <v>77</v>
      </c>
      <c r="V10" s="7">
        <v>0.01</v>
      </c>
      <c r="W10">
        <v>6</v>
      </c>
      <c r="X10" t="s">
        <v>208</v>
      </c>
      <c r="Y10" t="s">
        <v>209</v>
      </c>
      <c r="Z10">
        <f>(13.7-8.9)/14</f>
        <v>0.3428571428571428</v>
      </c>
      <c r="AA10">
        <f t="shared" si="0"/>
        <v>7.1428571428571435E-3</v>
      </c>
      <c r="AB10">
        <f t="shared" ref="AB10:AB16" si="1">(14-9.1)/14</f>
        <v>0.35000000000000003</v>
      </c>
      <c r="AC10">
        <f t="shared" si="0"/>
        <v>7.1428571428571435E-3</v>
      </c>
    </row>
    <row r="11" spans="1:29" s="3" customFormat="1" x14ac:dyDescent="0.3">
      <c r="A11">
        <v>2</v>
      </c>
      <c r="B11">
        <v>10</v>
      </c>
      <c r="C11" t="str">
        <f ca="1">LOOKUP(A11,RQ3_reference!A$2:A$199,RQ3_reference!B$2:B$196)</f>
        <v>Furbeyre_2017_Effects</v>
      </c>
      <c r="D11" t="s">
        <v>142</v>
      </c>
      <c r="E11" t="s">
        <v>28</v>
      </c>
      <c r="F11"/>
      <c r="G11"/>
      <c r="H11">
        <v>14</v>
      </c>
      <c r="I11"/>
      <c r="J11"/>
      <c r="K11"/>
      <c r="L11" t="s">
        <v>14</v>
      </c>
      <c r="M11" t="s">
        <v>18</v>
      </c>
      <c r="N11" t="s">
        <v>23</v>
      </c>
      <c r="O11" t="s">
        <v>29</v>
      </c>
      <c r="P11">
        <v>20.62</v>
      </c>
      <c r="Q11" s="6" t="s">
        <v>37</v>
      </c>
      <c r="R11" s="6" t="s">
        <v>22</v>
      </c>
      <c r="S11" s="6" t="s">
        <v>26</v>
      </c>
      <c r="T11" s="6">
        <v>1</v>
      </c>
      <c r="U11" t="s">
        <v>77</v>
      </c>
      <c r="V11" s="7">
        <v>0.01</v>
      </c>
      <c r="W11">
        <v>6</v>
      </c>
      <c r="X11" t="s">
        <v>208</v>
      </c>
      <c r="Y11" t="s">
        <v>209</v>
      </c>
      <c r="Z11">
        <f>(13.8-9.1)/14</f>
        <v>0.3357142857142858</v>
      </c>
      <c r="AA11">
        <f t="shared" si="0"/>
        <v>7.1428571428571435E-3</v>
      </c>
      <c r="AB11">
        <f t="shared" si="1"/>
        <v>0.35000000000000003</v>
      </c>
      <c r="AC11">
        <f t="shared" si="0"/>
        <v>7.1428571428571435E-3</v>
      </c>
    </row>
    <row r="12" spans="1:29" s="3" customFormat="1" x14ac:dyDescent="0.3">
      <c r="A12">
        <v>2</v>
      </c>
      <c r="B12">
        <v>11</v>
      </c>
      <c r="C12" t="str">
        <f ca="1">LOOKUP(A12,RQ3_reference!A$2:A$199,RQ3_reference!B$2:B$196)</f>
        <v>Furbeyre_2017_Effects</v>
      </c>
      <c r="D12" t="s">
        <v>142</v>
      </c>
      <c r="E12" t="s">
        <v>28</v>
      </c>
      <c r="F12"/>
      <c r="G12"/>
      <c r="H12">
        <v>14</v>
      </c>
      <c r="I12"/>
      <c r="J12"/>
      <c r="K12"/>
      <c r="L12" t="s">
        <v>14</v>
      </c>
      <c r="M12" t="s">
        <v>18</v>
      </c>
      <c r="N12" t="s">
        <v>23</v>
      </c>
      <c r="O12" t="s">
        <v>29</v>
      </c>
      <c r="P12">
        <v>20.62</v>
      </c>
      <c r="Q12" s="6" t="s">
        <v>37</v>
      </c>
      <c r="R12" s="6" t="s">
        <v>22</v>
      </c>
      <c r="S12" t="s">
        <v>33</v>
      </c>
      <c r="T12" s="6">
        <v>1</v>
      </c>
      <c r="U12" t="s">
        <v>77</v>
      </c>
      <c r="V12" s="7">
        <v>0.01</v>
      </c>
      <c r="W12">
        <v>6</v>
      </c>
      <c r="X12" t="s">
        <v>208</v>
      </c>
      <c r="Y12" t="s">
        <v>209</v>
      </c>
      <c r="Z12">
        <f>(13.7-8.9)/14</f>
        <v>0.3428571428571428</v>
      </c>
      <c r="AA12">
        <f t="shared" si="0"/>
        <v>7.1428571428571435E-3</v>
      </c>
      <c r="AB12">
        <f t="shared" si="1"/>
        <v>0.35000000000000003</v>
      </c>
      <c r="AC12">
        <f t="shared" si="0"/>
        <v>7.1428571428571435E-3</v>
      </c>
    </row>
    <row r="13" spans="1:29" s="3" customFormat="1" x14ac:dyDescent="0.3">
      <c r="A13">
        <v>2</v>
      </c>
      <c r="B13">
        <v>12</v>
      </c>
      <c r="C13" t="str">
        <f ca="1">LOOKUP(A13,RQ3_reference!A$2:A$199,RQ3_reference!B$2:B$196)</f>
        <v>Furbeyre_2017_Effects</v>
      </c>
      <c r="D13" t="s">
        <v>142</v>
      </c>
      <c r="E13" t="s">
        <v>28</v>
      </c>
      <c r="F13"/>
      <c r="G13"/>
      <c r="H13">
        <v>14</v>
      </c>
      <c r="I13"/>
      <c r="J13"/>
      <c r="K13"/>
      <c r="L13" t="s">
        <v>14</v>
      </c>
      <c r="M13" t="s">
        <v>18</v>
      </c>
      <c r="N13" t="s">
        <v>23</v>
      </c>
      <c r="O13" t="s">
        <v>29</v>
      </c>
      <c r="P13">
        <v>20.62</v>
      </c>
      <c r="Q13" s="6" t="s">
        <v>37</v>
      </c>
      <c r="R13" s="6" t="s">
        <v>22</v>
      </c>
      <c r="S13" s="6" t="s">
        <v>26</v>
      </c>
      <c r="T13" s="6">
        <v>1</v>
      </c>
      <c r="U13" t="s">
        <v>77</v>
      </c>
      <c r="V13" s="7">
        <v>0.01</v>
      </c>
      <c r="W13">
        <v>6</v>
      </c>
      <c r="X13" t="s">
        <v>208</v>
      </c>
      <c r="Y13" t="s">
        <v>209</v>
      </c>
      <c r="Z13">
        <f>(13.8-9.1)/14</f>
        <v>0.3357142857142858</v>
      </c>
      <c r="AA13">
        <f t="shared" si="0"/>
        <v>7.1428571428571435E-3</v>
      </c>
      <c r="AB13">
        <f t="shared" si="1"/>
        <v>0.35000000000000003</v>
      </c>
      <c r="AC13">
        <f t="shared" si="0"/>
        <v>7.1428571428571435E-3</v>
      </c>
    </row>
    <row r="14" spans="1:29" s="3" customFormat="1" x14ac:dyDescent="0.3">
      <c r="A14">
        <v>2</v>
      </c>
      <c r="B14">
        <v>13</v>
      </c>
      <c r="C14" t="str">
        <f ca="1">LOOKUP(A14,RQ3_reference!A$2:A$199,RQ3_reference!B$2:B$196)</f>
        <v>Furbeyre_2017_Effects</v>
      </c>
      <c r="D14" t="s">
        <v>142</v>
      </c>
      <c r="E14" t="s">
        <v>28</v>
      </c>
      <c r="F14"/>
      <c r="G14"/>
      <c r="H14">
        <v>14</v>
      </c>
      <c r="I14"/>
      <c r="J14"/>
      <c r="K14"/>
      <c r="L14" t="s">
        <v>14</v>
      </c>
      <c r="M14" t="s">
        <v>18</v>
      </c>
      <c r="N14" t="s">
        <v>23</v>
      </c>
      <c r="O14" t="s">
        <v>29</v>
      </c>
      <c r="P14">
        <v>20.62</v>
      </c>
      <c r="Q14" s="6" t="s">
        <v>37</v>
      </c>
      <c r="R14" s="6" t="s">
        <v>22</v>
      </c>
      <c r="S14" t="s">
        <v>33</v>
      </c>
      <c r="T14" s="6">
        <v>1</v>
      </c>
      <c r="U14" t="s">
        <v>77</v>
      </c>
      <c r="V14" s="7">
        <v>0.01</v>
      </c>
      <c r="W14">
        <v>6</v>
      </c>
      <c r="X14" t="s">
        <v>208</v>
      </c>
      <c r="Y14" t="s">
        <v>209</v>
      </c>
      <c r="Z14">
        <f>(13.7-8.9)/14</f>
        <v>0.3428571428571428</v>
      </c>
      <c r="AA14">
        <f t="shared" si="0"/>
        <v>7.1428571428571435E-3</v>
      </c>
      <c r="AB14">
        <f t="shared" si="1"/>
        <v>0.35000000000000003</v>
      </c>
      <c r="AC14">
        <f t="shared" si="0"/>
        <v>7.1428571428571435E-3</v>
      </c>
    </row>
    <row r="15" spans="1:29" s="3" customFormat="1" x14ac:dyDescent="0.3">
      <c r="A15">
        <v>2</v>
      </c>
      <c r="B15">
        <v>14</v>
      </c>
      <c r="C15" t="str">
        <f ca="1">LOOKUP(A15,RQ3_reference!A$2:A$199,RQ3_reference!B$2:B$196)</f>
        <v>Furbeyre_2017_Effects</v>
      </c>
      <c r="D15" t="s">
        <v>142</v>
      </c>
      <c r="E15" t="s">
        <v>28</v>
      </c>
      <c r="F15"/>
      <c r="G15"/>
      <c r="H15">
        <v>14</v>
      </c>
      <c r="I15"/>
      <c r="J15"/>
      <c r="K15"/>
      <c r="L15" t="s">
        <v>14</v>
      </c>
      <c r="M15" t="s">
        <v>18</v>
      </c>
      <c r="N15" t="s">
        <v>23</v>
      </c>
      <c r="O15" t="s">
        <v>29</v>
      </c>
      <c r="P15">
        <v>20.62</v>
      </c>
      <c r="Q15" s="6" t="s">
        <v>37</v>
      </c>
      <c r="R15" s="6" t="s">
        <v>22</v>
      </c>
      <c r="S15" s="6" t="s">
        <v>26</v>
      </c>
      <c r="T15" s="6">
        <v>1</v>
      </c>
      <c r="U15" t="s">
        <v>77</v>
      </c>
      <c r="V15" s="7">
        <v>0.01</v>
      </c>
      <c r="W15">
        <v>6</v>
      </c>
      <c r="X15" t="s">
        <v>208</v>
      </c>
      <c r="Y15" t="s">
        <v>209</v>
      </c>
      <c r="Z15">
        <f>(13.8-9.1)/14</f>
        <v>0.3357142857142858</v>
      </c>
      <c r="AA15">
        <f t="shared" si="0"/>
        <v>7.1428571428571435E-3</v>
      </c>
      <c r="AB15">
        <f t="shared" si="1"/>
        <v>0.35000000000000003</v>
      </c>
      <c r="AC15">
        <f t="shared" si="0"/>
        <v>7.1428571428571435E-3</v>
      </c>
    </row>
    <row r="16" spans="1:29" s="3" customFormat="1" x14ac:dyDescent="0.3">
      <c r="A16">
        <v>2</v>
      </c>
      <c r="B16">
        <v>15</v>
      </c>
      <c r="C16" t="str">
        <f ca="1">LOOKUP(A16,RQ3_reference!A$2:A$199,RQ3_reference!B$2:B$196)</f>
        <v>Furbeyre_2017_Effects</v>
      </c>
      <c r="D16" t="s">
        <v>142</v>
      </c>
      <c r="E16" t="s">
        <v>28</v>
      </c>
      <c r="F16"/>
      <c r="G16"/>
      <c r="H16">
        <v>14</v>
      </c>
      <c r="I16"/>
      <c r="J16"/>
      <c r="K16"/>
      <c r="L16" t="s">
        <v>14</v>
      </c>
      <c r="M16" t="s">
        <v>18</v>
      </c>
      <c r="N16" t="s">
        <v>23</v>
      </c>
      <c r="O16" t="s">
        <v>29</v>
      </c>
      <c r="P16">
        <v>20.62</v>
      </c>
      <c r="Q16" s="6" t="s">
        <v>37</v>
      </c>
      <c r="R16" s="6" t="s">
        <v>22</v>
      </c>
      <c r="S16" t="s">
        <v>33</v>
      </c>
      <c r="T16" s="6">
        <v>1</v>
      </c>
      <c r="U16" t="s">
        <v>77</v>
      </c>
      <c r="V16" s="7">
        <v>0.01</v>
      </c>
      <c r="W16">
        <v>6</v>
      </c>
      <c r="X16" t="s">
        <v>208</v>
      </c>
      <c r="Y16" t="s">
        <v>209</v>
      </c>
      <c r="Z16">
        <f>(13.7-8.9)/14</f>
        <v>0.3428571428571428</v>
      </c>
      <c r="AA16">
        <f t="shared" si="0"/>
        <v>7.1428571428571435E-3</v>
      </c>
      <c r="AB16">
        <f t="shared" si="1"/>
        <v>0.35000000000000003</v>
      </c>
      <c r="AC16">
        <f t="shared" si="0"/>
        <v>7.1428571428571435E-3</v>
      </c>
    </row>
    <row r="17" spans="1:29" x14ac:dyDescent="0.3">
      <c r="A17">
        <v>3</v>
      </c>
      <c r="B17">
        <v>16</v>
      </c>
      <c r="C17" t="str">
        <f ca="1">LOOKUP(A17,RQ3_reference!A$2:A$199,RQ3_reference!B$2:B$196)</f>
        <v>Kambashi_2016_Nutritive</v>
      </c>
      <c r="D17" t="s">
        <v>144</v>
      </c>
      <c r="E17" t="s">
        <v>43</v>
      </c>
      <c r="F17" t="s">
        <v>44</v>
      </c>
      <c r="G17" t="s">
        <v>45</v>
      </c>
      <c r="H17">
        <v>90</v>
      </c>
      <c r="L17" t="s">
        <v>14</v>
      </c>
      <c r="M17" t="s">
        <v>18</v>
      </c>
      <c r="N17" t="s">
        <v>46</v>
      </c>
      <c r="P17">
        <v>16.399999999999999</v>
      </c>
      <c r="Q17" s="6" t="s">
        <v>37</v>
      </c>
      <c r="R17" s="6" t="s">
        <v>42</v>
      </c>
      <c r="S17" s="6" t="s">
        <v>48</v>
      </c>
      <c r="T17" s="6">
        <v>20</v>
      </c>
      <c r="U17" t="s">
        <v>78</v>
      </c>
      <c r="V17" s="7">
        <v>0.2</v>
      </c>
      <c r="W17">
        <v>9</v>
      </c>
      <c r="X17" t="s">
        <v>208</v>
      </c>
      <c r="Y17" t="s">
        <v>209</v>
      </c>
      <c r="Z17">
        <f>(71.3-25.1)/90</f>
        <v>0.51333333333333331</v>
      </c>
      <c r="AA17">
        <f>0.88/90</f>
        <v>9.7777777777777776E-3</v>
      </c>
      <c r="AB17">
        <f>(78.7-24.4)/90</f>
        <v>0.60333333333333339</v>
      </c>
      <c r="AC17">
        <f>0.88/90</f>
        <v>9.7777777777777776E-3</v>
      </c>
    </row>
    <row r="18" spans="1:29" x14ac:dyDescent="0.3">
      <c r="A18">
        <v>3</v>
      </c>
      <c r="B18">
        <v>17</v>
      </c>
      <c r="C18" t="str">
        <f ca="1">LOOKUP(A18,RQ3_reference!A$2:A$199,RQ3_reference!B$2:B$196)</f>
        <v>Kambashi_2016_Nutritive</v>
      </c>
      <c r="D18" t="s">
        <v>144</v>
      </c>
      <c r="E18" t="s">
        <v>43</v>
      </c>
      <c r="F18" t="s">
        <v>44</v>
      </c>
      <c r="G18" t="s">
        <v>45</v>
      </c>
      <c r="H18">
        <v>90</v>
      </c>
      <c r="L18" t="s">
        <v>14</v>
      </c>
      <c r="M18" t="s">
        <v>18</v>
      </c>
      <c r="N18" t="s">
        <v>46</v>
      </c>
      <c r="P18">
        <v>16.399999999999999</v>
      </c>
      <c r="Q18" s="6" t="s">
        <v>37</v>
      </c>
      <c r="R18" s="6" t="s">
        <v>42</v>
      </c>
      <c r="S18" s="6" t="s">
        <v>49</v>
      </c>
      <c r="T18" s="6">
        <v>20</v>
      </c>
      <c r="U18" t="s">
        <v>78</v>
      </c>
      <c r="V18" s="7">
        <v>0.2</v>
      </c>
      <c r="W18">
        <v>9</v>
      </c>
      <c r="X18" t="s">
        <v>208</v>
      </c>
      <c r="Y18" t="s">
        <v>209</v>
      </c>
      <c r="Z18">
        <f>(73.8-25.5)/90</f>
        <v>0.53666666666666663</v>
      </c>
      <c r="AA18">
        <f>0.88/90</f>
        <v>9.7777777777777776E-3</v>
      </c>
      <c r="AB18">
        <f t="shared" ref="AB18:AB19" si="2">(78.7-24.4)/90</f>
        <v>0.60333333333333339</v>
      </c>
      <c r="AC18">
        <f>0.88/90</f>
        <v>9.7777777777777776E-3</v>
      </c>
    </row>
    <row r="19" spans="1:29" x14ac:dyDescent="0.3">
      <c r="A19">
        <v>3</v>
      </c>
      <c r="B19">
        <v>18</v>
      </c>
      <c r="C19" t="str">
        <f ca="1">LOOKUP(A19,RQ3_reference!A$2:A$199,RQ3_reference!B$2:B$196)</f>
        <v>Kambashi_2016_Nutritive</v>
      </c>
      <c r="D19" t="s">
        <v>144</v>
      </c>
      <c r="E19" t="s">
        <v>43</v>
      </c>
      <c r="F19" t="s">
        <v>44</v>
      </c>
      <c r="G19" t="s">
        <v>45</v>
      </c>
      <c r="H19">
        <v>90</v>
      </c>
      <c r="L19" t="s">
        <v>14</v>
      </c>
      <c r="M19" t="s">
        <v>18</v>
      </c>
      <c r="N19" t="s">
        <v>46</v>
      </c>
      <c r="P19">
        <v>16.399999999999999</v>
      </c>
      <c r="Q19" s="6" t="s">
        <v>37</v>
      </c>
      <c r="R19" s="6" t="s">
        <v>42</v>
      </c>
      <c r="S19" s="5" t="s">
        <v>47</v>
      </c>
      <c r="T19" s="6">
        <v>20</v>
      </c>
      <c r="U19" t="s">
        <v>78</v>
      </c>
      <c r="V19" s="7">
        <v>0.2</v>
      </c>
      <c r="W19">
        <v>9</v>
      </c>
      <c r="X19" t="s">
        <v>208</v>
      </c>
      <c r="Y19" t="s">
        <v>209</v>
      </c>
      <c r="Z19">
        <f>(73.3-25)/90</f>
        <v>0.53666666666666663</v>
      </c>
      <c r="AA19">
        <f>0.88/90</f>
        <v>9.7777777777777776E-3</v>
      </c>
      <c r="AB19">
        <f t="shared" si="2"/>
        <v>0.60333333333333339</v>
      </c>
      <c r="AC19">
        <f>0.88/90</f>
        <v>9.7777777777777776E-3</v>
      </c>
    </row>
    <row r="20" spans="1:29" x14ac:dyDescent="0.3">
      <c r="A20">
        <v>3</v>
      </c>
      <c r="B20">
        <v>19</v>
      </c>
      <c r="C20" t="str">
        <f ca="1">LOOKUP(A20,RQ3_reference!A$2:A$199,RQ3_reference!B$2:B$196)</f>
        <v>Kambashi_2016_Nutritive</v>
      </c>
      <c r="D20" t="s">
        <v>144</v>
      </c>
      <c r="E20" t="s">
        <v>43</v>
      </c>
      <c r="F20" t="s">
        <v>44</v>
      </c>
      <c r="G20" t="s">
        <v>45</v>
      </c>
      <c r="H20">
        <v>90</v>
      </c>
      <c r="L20" t="s">
        <v>14</v>
      </c>
      <c r="M20" t="s">
        <v>18</v>
      </c>
      <c r="N20" t="s">
        <v>46</v>
      </c>
      <c r="P20">
        <v>16.399999999999999</v>
      </c>
      <c r="Q20" s="6" t="s">
        <v>37</v>
      </c>
      <c r="R20" s="6" t="s">
        <v>42</v>
      </c>
      <c r="S20" s="6" t="s">
        <v>48</v>
      </c>
      <c r="T20" s="6">
        <v>20</v>
      </c>
      <c r="U20" t="s">
        <v>78</v>
      </c>
      <c r="V20" s="7">
        <v>0.2</v>
      </c>
      <c r="W20">
        <v>9</v>
      </c>
      <c r="X20" t="s">
        <v>24</v>
      </c>
      <c r="Y20" t="s">
        <v>195</v>
      </c>
      <c r="Z20">
        <v>65.099999999999994</v>
      </c>
      <c r="AA20">
        <v>2.6</v>
      </c>
      <c r="AB20">
        <v>85.5</v>
      </c>
      <c r="AC20">
        <v>2.6</v>
      </c>
    </row>
    <row r="21" spans="1:29" x14ac:dyDescent="0.3">
      <c r="A21">
        <v>3</v>
      </c>
      <c r="B21">
        <v>20</v>
      </c>
      <c r="C21" t="str">
        <f ca="1">LOOKUP(A21,RQ3_reference!A$2:A$199,RQ3_reference!B$2:B$196)</f>
        <v>Kambashi_2016_Nutritive</v>
      </c>
      <c r="D21" t="s">
        <v>144</v>
      </c>
      <c r="E21" t="s">
        <v>43</v>
      </c>
      <c r="F21" t="s">
        <v>44</v>
      </c>
      <c r="G21" t="s">
        <v>45</v>
      </c>
      <c r="H21">
        <v>90</v>
      </c>
      <c r="L21" t="s">
        <v>14</v>
      </c>
      <c r="M21" t="s">
        <v>18</v>
      </c>
      <c r="N21" t="s">
        <v>46</v>
      </c>
      <c r="P21">
        <v>16.399999999999999</v>
      </c>
      <c r="Q21" s="6" t="s">
        <v>37</v>
      </c>
      <c r="R21" s="6" t="s">
        <v>42</v>
      </c>
      <c r="S21" s="6" t="s">
        <v>49</v>
      </c>
      <c r="T21" s="6">
        <v>20</v>
      </c>
      <c r="U21" t="s">
        <v>78</v>
      </c>
      <c r="V21" s="7">
        <v>0.2</v>
      </c>
      <c r="W21">
        <v>9</v>
      </c>
      <c r="X21" t="s">
        <v>24</v>
      </c>
      <c r="Y21" t="s">
        <v>195</v>
      </c>
      <c r="Z21">
        <v>83.4</v>
      </c>
      <c r="AA21">
        <v>2.6</v>
      </c>
      <c r="AB21">
        <v>85.5</v>
      </c>
      <c r="AC21">
        <v>2.6</v>
      </c>
    </row>
    <row r="22" spans="1:29" x14ac:dyDescent="0.3">
      <c r="A22">
        <v>3</v>
      </c>
      <c r="B22">
        <v>21</v>
      </c>
      <c r="C22" t="str">
        <f ca="1">LOOKUP(A22,RQ3_reference!A$2:A$199,RQ3_reference!B$2:B$196)</f>
        <v>Kambashi_2016_Nutritive</v>
      </c>
      <c r="D22" t="s">
        <v>144</v>
      </c>
      <c r="E22" t="s">
        <v>43</v>
      </c>
      <c r="F22" t="s">
        <v>44</v>
      </c>
      <c r="G22" t="s">
        <v>45</v>
      </c>
      <c r="H22">
        <v>90</v>
      </c>
      <c r="L22" t="s">
        <v>14</v>
      </c>
      <c r="M22" t="s">
        <v>18</v>
      </c>
      <c r="N22" t="s">
        <v>46</v>
      </c>
      <c r="P22">
        <v>16.399999999999999</v>
      </c>
      <c r="Q22" s="6" t="s">
        <v>37</v>
      </c>
      <c r="R22" s="6" t="s">
        <v>42</v>
      </c>
      <c r="S22" s="5" t="s">
        <v>47</v>
      </c>
      <c r="T22" s="6">
        <v>20</v>
      </c>
      <c r="U22" t="s">
        <v>78</v>
      </c>
      <c r="V22" s="7">
        <v>0.2</v>
      </c>
      <c r="W22">
        <v>9</v>
      </c>
      <c r="X22" t="s">
        <v>24</v>
      </c>
      <c r="Y22" t="s">
        <v>195</v>
      </c>
      <c r="Z22">
        <v>74.2</v>
      </c>
      <c r="AA22">
        <v>2.6</v>
      </c>
      <c r="AB22">
        <v>85.5</v>
      </c>
      <c r="AC22">
        <v>2.6</v>
      </c>
    </row>
    <row r="23" spans="1:29" x14ac:dyDescent="0.3">
      <c r="A23">
        <v>3</v>
      </c>
      <c r="B23">
        <v>22</v>
      </c>
      <c r="C23" t="str">
        <f ca="1">LOOKUP(A23,RQ3_reference!A$2:A$199,RQ3_reference!B$2:B$196)</f>
        <v>Kambashi_2016_Nutritive</v>
      </c>
      <c r="D23" t="s">
        <v>144</v>
      </c>
      <c r="E23" t="s">
        <v>43</v>
      </c>
      <c r="F23" t="s">
        <v>44</v>
      </c>
      <c r="G23" t="s">
        <v>45</v>
      </c>
      <c r="H23">
        <v>90</v>
      </c>
      <c r="L23" t="s">
        <v>14</v>
      </c>
      <c r="M23" t="s">
        <v>18</v>
      </c>
      <c r="N23" t="s">
        <v>46</v>
      </c>
      <c r="P23">
        <v>16.399999999999999</v>
      </c>
      <c r="Q23" s="6" t="s">
        <v>37</v>
      </c>
      <c r="R23" s="6" t="s">
        <v>42</v>
      </c>
      <c r="S23" s="6" t="s">
        <v>48</v>
      </c>
      <c r="T23" s="6">
        <v>20</v>
      </c>
      <c r="U23" t="s">
        <v>78</v>
      </c>
      <c r="V23" s="7">
        <v>0.2</v>
      </c>
      <c r="W23">
        <v>9</v>
      </c>
      <c r="X23" t="s">
        <v>198</v>
      </c>
      <c r="Y23" t="s">
        <v>25</v>
      </c>
      <c r="Z23">
        <v>3.66</v>
      </c>
      <c r="AA23">
        <v>0.04</v>
      </c>
      <c r="AB23">
        <v>3.52</v>
      </c>
      <c r="AC23">
        <v>0.04</v>
      </c>
    </row>
    <row r="24" spans="1:29" x14ac:dyDescent="0.3">
      <c r="A24">
        <v>3</v>
      </c>
      <c r="B24">
        <v>23</v>
      </c>
      <c r="C24" t="str">
        <f ca="1">LOOKUP(A24,RQ3_reference!A$2:A$199,RQ3_reference!B$2:B$196)</f>
        <v>Kambashi_2016_Nutritive</v>
      </c>
      <c r="D24" t="s">
        <v>144</v>
      </c>
      <c r="E24" t="s">
        <v>43</v>
      </c>
      <c r="F24" t="s">
        <v>44</v>
      </c>
      <c r="G24" t="s">
        <v>45</v>
      </c>
      <c r="H24">
        <v>90</v>
      </c>
      <c r="L24" t="s">
        <v>14</v>
      </c>
      <c r="M24" t="s">
        <v>18</v>
      </c>
      <c r="N24" t="s">
        <v>46</v>
      </c>
      <c r="P24">
        <v>16.399999999999999</v>
      </c>
      <c r="Q24" s="6" t="s">
        <v>37</v>
      </c>
      <c r="R24" s="6" t="s">
        <v>42</v>
      </c>
      <c r="S24" s="6" t="s">
        <v>49</v>
      </c>
      <c r="T24" s="6">
        <v>20</v>
      </c>
      <c r="U24" t="s">
        <v>78</v>
      </c>
      <c r="V24" s="7">
        <v>0.2</v>
      </c>
      <c r="W24">
        <v>9</v>
      </c>
      <c r="X24" t="s">
        <v>198</v>
      </c>
      <c r="Y24" t="s">
        <v>25</v>
      </c>
      <c r="Z24">
        <v>3.67</v>
      </c>
      <c r="AA24">
        <v>0.04</v>
      </c>
      <c r="AB24">
        <v>3.52</v>
      </c>
      <c r="AC24">
        <v>0.04</v>
      </c>
    </row>
    <row r="25" spans="1:29" x14ac:dyDescent="0.3">
      <c r="A25">
        <v>3</v>
      </c>
      <c r="B25">
        <v>24</v>
      </c>
      <c r="C25" t="str">
        <f ca="1">LOOKUP(A25,RQ3_reference!A$2:A$199,RQ3_reference!B$2:B$196)</f>
        <v>Kambashi_2016_Nutritive</v>
      </c>
      <c r="D25" t="s">
        <v>144</v>
      </c>
      <c r="E25" t="s">
        <v>43</v>
      </c>
      <c r="F25" t="s">
        <v>44</v>
      </c>
      <c r="G25" t="s">
        <v>45</v>
      </c>
      <c r="H25">
        <v>90</v>
      </c>
      <c r="L25" t="s">
        <v>14</v>
      </c>
      <c r="M25" t="s">
        <v>18</v>
      </c>
      <c r="N25" t="s">
        <v>46</v>
      </c>
      <c r="P25">
        <v>16.399999999999999</v>
      </c>
      <c r="Q25" s="6" t="s">
        <v>37</v>
      </c>
      <c r="R25" s="6" t="s">
        <v>42</v>
      </c>
      <c r="S25" s="5" t="s">
        <v>47</v>
      </c>
      <c r="T25" s="6">
        <v>20</v>
      </c>
      <c r="U25" t="s">
        <v>78</v>
      </c>
      <c r="V25" s="7">
        <v>0.2</v>
      </c>
      <c r="W25">
        <v>9</v>
      </c>
      <c r="X25" t="s">
        <v>198</v>
      </c>
      <c r="Y25" t="s">
        <v>25</v>
      </c>
      <c r="Z25">
        <v>3.55</v>
      </c>
      <c r="AA25">
        <v>0.04</v>
      </c>
      <c r="AB25">
        <v>3.52</v>
      </c>
      <c r="AC25">
        <v>0.04</v>
      </c>
    </row>
    <row r="26" spans="1:29" x14ac:dyDescent="0.3">
      <c r="A26">
        <v>4</v>
      </c>
      <c r="B26">
        <v>25</v>
      </c>
      <c r="C26" t="str">
        <f ca="1">LOOKUP(A26,RQ3_reference!A$2:A$199,RQ3_reference!B$2:B$196)</f>
        <v>De Quelen_2021_Eco-friendly</v>
      </c>
      <c r="D26" t="s">
        <v>142</v>
      </c>
      <c r="E26" t="s">
        <v>61</v>
      </c>
      <c r="H26">
        <v>23</v>
      </c>
      <c r="L26" t="s">
        <v>14</v>
      </c>
      <c r="M26" t="s">
        <v>18</v>
      </c>
      <c r="N26" t="s">
        <v>23</v>
      </c>
      <c r="O26" t="s">
        <v>90</v>
      </c>
      <c r="P26">
        <v>14.8</v>
      </c>
      <c r="Q26" s="6" t="s">
        <v>37</v>
      </c>
      <c r="R26" s="6" t="s">
        <v>42</v>
      </c>
      <c r="S26" s="6" t="s">
        <v>67</v>
      </c>
      <c r="T26" s="6">
        <v>5</v>
      </c>
      <c r="U26" t="s">
        <v>76</v>
      </c>
      <c r="V26" s="7">
        <v>1</v>
      </c>
      <c r="W26">
        <v>29</v>
      </c>
      <c r="X26" t="s">
        <v>208</v>
      </c>
      <c r="Y26" t="s">
        <v>209</v>
      </c>
      <c r="Z26">
        <f>(61.1-40.5)/23</f>
        <v>0.89565217391304353</v>
      </c>
      <c r="AA26">
        <f>0.09/23</f>
        <v>3.913043478260869E-3</v>
      </c>
      <c r="AB26">
        <f>(61.4-40.8)/23</f>
        <v>0.89565217391304353</v>
      </c>
      <c r="AC26">
        <f t="shared" ref="AC26:AC27" si="3">0.09/23</f>
        <v>3.913043478260869E-3</v>
      </c>
    </row>
    <row r="27" spans="1:29" x14ac:dyDescent="0.3">
      <c r="A27">
        <v>4</v>
      </c>
      <c r="B27">
        <v>26</v>
      </c>
      <c r="C27" t="str">
        <f ca="1">LOOKUP(A27,RQ3_reference!A$2:A$199,RQ3_reference!B$2:B$196)</f>
        <v>De Quelen_2021_Eco-friendly</v>
      </c>
      <c r="D27" t="s">
        <v>142</v>
      </c>
      <c r="E27" t="s">
        <v>61</v>
      </c>
      <c r="H27">
        <v>23</v>
      </c>
      <c r="L27" t="s">
        <v>14</v>
      </c>
      <c r="M27" t="s">
        <v>18</v>
      </c>
      <c r="N27" t="s">
        <v>23</v>
      </c>
      <c r="O27" t="s">
        <v>90</v>
      </c>
      <c r="P27">
        <v>14.8</v>
      </c>
      <c r="Q27" s="6" t="s">
        <v>37</v>
      </c>
      <c r="R27" s="6" t="s">
        <v>42</v>
      </c>
      <c r="S27" s="6" t="s">
        <v>67</v>
      </c>
      <c r="T27" s="6">
        <v>10</v>
      </c>
      <c r="U27" t="s">
        <v>76</v>
      </c>
      <c r="V27" s="7">
        <v>1</v>
      </c>
      <c r="W27">
        <v>30</v>
      </c>
      <c r="X27" t="s">
        <v>208</v>
      </c>
      <c r="Y27" t="s">
        <v>209</v>
      </c>
      <c r="Z27">
        <f>(60.6-40.9)/23</f>
        <v>0.85652173913043494</v>
      </c>
      <c r="AA27">
        <f>0.09/23</f>
        <v>3.913043478260869E-3</v>
      </c>
      <c r="AB27">
        <f>(61.4-40.8)/23</f>
        <v>0.89565217391304353</v>
      </c>
      <c r="AC27">
        <f t="shared" si="3"/>
        <v>3.913043478260869E-3</v>
      </c>
    </row>
    <row r="28" spans="1:29" x14ac:dyDescent="0.3">
      <c r="A28">
        <v>4</v>
      </c>
      <c r="B28">
        <v>27</v>
      </c>
      <c r="C28" t="str">
        <f ca="1">LOOKUP(A28,RQ3_reference!A$2:A$199,RQ3_reference!B$2:B$196)</f>
        <v>De Quelen_2021_Eco-friendly</v>
      </c>
      <c r="D28" t="s">
        <v>142</v>
      </c>
      <c r="E28" t="s">
        <v>61</v>
      </c>
      <c r="H28">
        <v>23</v>
      </c>
      <c r="L28" t="s">
        <v>14</v>
      </c>
      <c r="M28" t="s">
        <v>18</v>
      </c>
      <c r="N28" t="s">
        <v>23</v>
      </c>
      <c r="O28" t="s">
        <v>90</v>
      </c>
      <c r="P28">
        <v>14.8</v>
      </c>
      <c r="Q28" s="6" t="s">
        <v>37</v>
      </c>
      <c r="R28" s="6" t="s">
        <v>42</v>
      </c>
      <c r="S28" s="6" t="s">
        <v>67</v>
      </c>
      <c r="T28" s="6">
        <v>5</v>
      </c>
      <c r="U28" t="s">
        <v>76</v>
      </c>
      <c r="V28" s="7">
        <v>1</v>
      </c>
      <c r="W28">
        <v>29</v>
      </c>
      <c r="X28" t="s">
        <v>198</v>
      </c>
      <c r="Y28" t="s">
        <v>25</v>
      </c>
      <c r="Z28">
        <v>2.2400000000000002</v>
      </c>
      <c r="AA28">
        <v>0.11</v>
      </c>
      <c r="AB28">
        <v>2.3199999999999998</v>
      </c>
      <c r="AC28">
        <v>0.11</v>
      </c>
    </row>
    <row r="29" spans="1:29" x14ac:dyDescent="0.3">
      <c r="A29">
        <v>4</v>
      </c>
      <c r="B29">
        <v>28</v>
      </c>
      <c r="C29" t="str">
        <f ca="1">LOOKUP(A29,RQ3_reference!A$2:A$199,RQ3_reference!B$2:B$196)</f>
        <v>De Quelen_2021_Eco-friendly</v>
      </c>
      <c r="D29" t="s">
        <v>142</v>
      </c>
      <c r="E29" t="s">
        <v>61</v>
      </c>
      <c r="H29">
        <v>23</v>
      </c>
      <c r="L29" t="s">
        <v>14</v>
      </c>
      <c r="M29" t="s">
        <v>18</v>
      </c>
      <c r="N29" t="s">
        <v>23</v>
      </c>
      <c r="O29" t="s">
        <v>90</v>
      </c>
      <c r="P29">
        <v>14.8</v>
      </c>
      <c r="Q29" s="6" t="s">
        <v>37</v>
      </c>
      <c r="R29" s="6" t="s">
        <v>42</v>
      </c>
      <c r="S29" s="6" t="s">
        <v>67</v>
      </c>
      <c r="T29" s="6">
        <v>10</v>
      </c>
      <c r="U29" t="s">
        <v>76</v>
      </c>
      <c r="V29" s="7">
        <v>1</v>
      </c>
      <c r="W29">
        <v>30</v>
      </c>
      <c r="X29" t="s">
        <v>198</v>
      </c>
      <c r="Y29" t="s">
        <v>25</v>
      </c>
      <c r="Z29">
        <v>2.48</v>
      </c>
      <c r="AA29">
        <v>0.11</v>
      </c>
      <c r="AB29">
        <v>2.3199999999999998</v>
      </c>
      <c r="AC29">
        <v>0.11</v>
      </c>
    </row>
    <row r="30" spans="1:29" x14ac:dyDescent="0.3">
      <c r="A30">
        <v>5</v>
      </c>
      <c r="B30">
        <v>29</v>
      </c>
      <c r="C30" t="str">
        <f ca="1">LOOKUP(A30,RQ3_reference!A$2:A$199,RQ3_reference!B$2:B$196)</f>
        <v>Biasato_2019_Partially</v>
      </c>
      <c r="D30" t="s">
        <v>145</v>
      </c>
      <c r="E30" t="s">
        <v>64</v>
      </c>
      <c r="H30">
        <v>23</v>
      </c>
      <c r="L30" t="s">
        <v>14</v>
      </c>
      <c r="M30" t="s">
        <v>18</v>
      </c>
      <c r="N30" t="s">
        <v>23</v>
      </c>
      <c r="O30" t="s">
        <v>62</v>
      </c>
      <c r="P30">
        <v>17.899999999999999</v>
      </c>
      <c r="Q30" s="6" t="s">
        <v>37</v>
      </c>
      <c r="R30" s="6" t="s">
        <v>35</v>
      </c>
      <c r="S30" t="s">
        <v>34</v>
      </c>
      <c r="T30" s="6">
        <v>5</v>
      </c>
      <c r="U30" t="s">
        <v>76</v>
      </c>
      <c r="V30" s="7">
        <v>0.3</v>
      </c>
      <c r="W30">
        <v>16</v>
      </c>
      <c r="X30" t="s">
        <v>208</v>
      </c>
      <c r="Y30" t="s">
        <v>209</v>
      </c>
      <c r="Z30">
        <f>(12-6.09)/23</f>
        <v>0.25695652173913042</v>
      </c>
      <c r="AA30">
        <f>0.19/23</f>
        <v>8.2608695652173908E-3</v>
      </c>
      <c r="AB30">
        <f>(12.06-6.1)/23</f>
        <v>0.25913043478260872</v>
      </c>
      <c r="AC30">
        <f t="shared" ref="AC30:AC31" si="4">0.19/23</f>
        <v>8.2608695652173908E-3</v>
      </c>
    </row>
    <row r="31" spans="1:29" x14ac:dyDescent="0.3">
      <c r="A31">
        <v>5</v>
      </c>
      <c r="B31">
        <v>30</v>
      </c>
      <c r="C31" t="str">
        <f ca="1">LOOKUP(A31,RQ3_reference!A$2:A$199,RQ3_reference!B$2:B$196)</f>
        <v>Biasato_2019_Partially</v>
      </c>
      <c r="D31" t="s">
        <v>145</v>
      </c>
      <c r="E31" t="s">
        <v>64</v>
      </c>
      <c r="H31">
        <v>23</v>
      </c>
      <c r="L31" t="s">
        <v>14</v>
      </c>
      <c r="M31" t="s">
        <v>18</v>
      </c>
      <c r="N31" t="s">
        <v>23</v>
      </c>
      <c r="O31" t="s">
        <v>62</v>
      </c>
      <c r="P31">
        <v>17.899999999999999</v>
      </c>
      <c r="Q31" s="6" t="s">
        <v>37</v>
      </c>
      <c r="R31" s="6" t="s">
        <v>35</v>
      </c>
      <c r="S31" t="s">
        <v>34</v>
      </c>
      <c r="T31" s="6">
        <v>10</v>
      </c>
      <c r="U31" t="s">
        <v>76</v>
      </c>
      <c r="V31" s="7">
        <v>0.6</v>
      </c>
      <c r="W31">
        <v>16</v>
      </c>
      <c r="X31" t="s">
        <v>208</v>
      </c>
      <c r="Y31" t="s">
        <v>209</v>
      </c>
      <c r="Z31">
        <f>(12.34-6.09)/23</f>
        <v>0.27173913043478259</v>
      </c>
      <c r="AA31">
        <f>0.19/23</f>
        <v>8.2608695652173908E-3</v>
      </c>
      <c r="AB31">
        <f>(12.06-6.1)/23</f>
        <v>0.25913043478260872</v>
      </c>
      <c r="AC31">
        <f t="shared" si="4"/>
        <v>8.2608695652173908E-3</v>
      </c>
    </row>
    <row r="32" spans="1:29" x14ac:dyDescent="0.3">
      <c r="A32">
        <v>5</v>
      </c>
      <c r="B32">
        <v>31</v>
      </c>
      <c r="C32" t="str">
        <f ca="1">LOOKUP(A32,RQ3_reference!A$2:A$199,RQ3_reference!B$2:B$196)</f>
        <v>Biasato_2019_Partially</v>
      </c>
      <c r="D32" t="s">
        <v>145</v>
      </c>
      <c r="E32" t="s">
        <v>64</v>
      </c>
      <c r="H32">
        <v>37</v>
      </c>
      <c r="L32" t="s">
        <v>14</v>
      </c>
      <c r="M32" t="s">
        <v>18</v>
      </c>
      <c r="N32" t="s">
        <v>23</v>
      </c>
      <c r="O32" t="s">
        <v>63</v>
      </c>
      <c r="P32">
        <v>17</v>
      </c>
      <c r="Q32" s="6" t="s">
        <v>37</v>
      </c>
      <c r="R32" s="6" t="s">
        <v>35</v>
      </c>
      <c r="S32" t="s">
        <v>34</v>
      </c>
      <c r="T32" s="6">
        <v>5</v>
      </c>
      <c r="U32" t="s">
        <v>77</v>
      </c>
      <c r="V32" s="7">
        <v>0.32</v>
      </c>
      <c r="W32">
        <v>16</v>
      </c>
      <c r="X32" t="s">
        <v>208</v>
      </c>
      <c r="Y32" t="s">
        <v>209</v>
      </c>
      <c r="Z32">
        <f>(32.23-12)/37</f>
        <v>0.54675675675675672</v>
      </c>
      <c r="AA32">
        <f>0.498/37</f>
        <v>1.345945945945946E-2</v>
      </c>
      <c r="AB32">
        <f>(31.88-12.06)/37</f>
        <v>0.53567567567567564</v>
      </c>
      <c r="AC32">
        <f>0.498/37</f>
        <v>1.345945945945946E-2</v>
      </c>
    </row>
    <row r="33" spans="1:29" x14ac:dyDescent="0.3">
      <c r="A33">
        <v>5</v>
      </c>
      <c r="B33">
        <v>32</v>
      </c>
      <c r="C33" t="str">
        <f ca="1">LOOKUP(A33,RQ3_reference!A$2:A$199,RQ3_reference!B$2:B$196)</f>
        <v>Biasato_2019_Partially</v>
      </c>
      <c r="D33" t="s">
        <v>145</v>
      </c>
      <c r="E33" t="s">
        <v>64</v>
      </c>
      <c r="H33">
        <v>37</v>
      </c>
      <c r="L33" t="s">
        <v>14</v>
      </c>
      <c r="M33" t="s">
        <v>18</v>
      </c>
      <c r="N33" t="s">
        <v>23</v>
      </c>
      <c r="O33" t="s">
        <v>63</v>
      </c>
      <c r="P33">
        <v>17</v>
      </c>
      <c r="Q33" s="6" t="s">
        <v>37</v>
      </c>
      <c r="R33" s="6" t="s">
        <v>35</v>
      </c>
      <c r="S33" t="s">
        <v>34</v>
      </c>
      <c r="T33" s="6">
        <v>10</v>
      </c>
      <c r="U33" t="s">
        <v>77</v>
      </c>
      <c r="V33" s="7">
        <v>0.65</v>
      </c>
      <c r="W33">
        <v>16</v>
      </c>
      <c r="X33" t="s">
        <v>208</v>
      </c>
      <c r="Y33" t="s">
        <v>209</v>
      </c>
      <c r="Z33">
        <f>(33.06-12.34)/37</f>
        <v>0.56000000000000005</v>
      </c>
      <c r="AA33">
        <f>0.498/37</f>
        <v>1.345945945945946E-2</v>
      </c>
      <c r="AB33">
        <f>(31.88-12.06)/37</f>
        <v>0.53567567567567564</v>
      </c>
      <c r="AC33">
        <f>0.498/37</f>
        <v>1.345945945945946E-2</v>
      </c>
    </row>
    <row r="34" spans="1:29" x14ac:dyDescent="0.3">
      <c r="A34">
        <v>5</v>
      </c>
      <c r="B34">
        <v>33</v>
      </c>
      <c r="C34" t="str">
        <f ca="1">LOOKUP(A34,RQ3_reference!A$2:A$199,RQ3_reference!B$2:B$196)</f>
        <v>Biasato_2019_Partially</v>
      </c>
      <c r="D34" t="s">
        <v>145</v>
      </c>
      <c r="E34" t="s">
        <v>64</v>
      </c>
      <c r="H34">
        <v>23</v>
      </c>
      <c r="L34" t="s">
        <v>14</v>
      </c>
      <c r="M34" t="s">
        <v>18</v>
      </c>
      <c r="N34" t="s">
        <v>23</v>
      </c>
      <c r="O34" t="s">
        <v>62</v>
      </c>
      <c r="P34">
        <v>17.899999999999999</v>
      </c>
      <c r="Q34" s="6" t="s">
        <v>37</v>
      </c>
      <c r="R34" s="6" t="s">
        <v>35</v>
      </c>
      <c r="S34" t="s">
        <v>34</v>
      </c>
      <c r="T34" s="6">
        <v>5</v>
      </c>
      <c r="U34" t="s">
        <v>76</v>
      </c>
      <c r="V34" s="7">
        <v>0.3</v>
      </c>
      <c r="W34">
        <v>16</v>
      </c>
      <c r="X34" t="s">
        <v>24</v>
      </c>
      <c r="Y34" t="s">
        <v>195</v>
      </c>
      <c r="Z34">
        <v>80.8</v>
      </c>
      <c r="AA34">
        <v>1.2</v>
      </c>
      <c r="AB34">
        <v>80.3</v>
      </c>
      <c r="AC34">
        <v>1.2</v>
      </c>
    </row>
    <row r="35" spans="1:29" x14ac:dyDescent="0.3">
      <c r="A35">
        <v>5</v>
      </c>
      <c r="B35">
        <v>34</v>
      </c>
      <c r="C35" t="str">
        <f ca="1">LOOKUP(A35,RQ3_reference!A$2:A$199,RQ3_reference!B$2:B$196)</f>
        <v>Biasato_2019_Partially</v>
      </c>
      <c r="D35" t="s">
        <v>145</v>
      </c>
      <c r="E35" t="s">
        <v>64</v>
      </c>
      <c r="H35">
        <v>23</v>
      </c>
      <c r="L35" t="s">
        <v>14</v>
      </c>
      <c r="M35" t="s">
        <v>18</v>
      </c>
      <c r="N35" t="s">
        <v>23</v>
      </c>
      <c r="O35" t="s">
        <v>62</v>
      </c>
      <c r="P35">
        <v>17.899999999999999</v>
      </c>
      <c r="Q35" s="6" t="s">
        <v>37</v>
      </c>
      <c r="R35" s="6" t="s">
        <v>35</v>
      </c>
      <c r="S35" t="s">
        <v>34</v>
      </c>
      <c r="T35" s="6">
        <v>10</v>
      </c>
      <c r="U35" t="s">
        <v>76</v>
      </c>
      <c r="V35" s="7">
        <v>0.6</v>
      </c>
      <c r="W35">
        <v>16</v>
      </c>
      <c r="X35" t="s">
        <v>24</v>
      </c>
      <c r="Y35" t="s">
        <v>195</v>
      </c>
      <c r="Z35">
        <v>82.8</v>
      </c>
      <c r="AA35">
        <v>1.2</v>
      </c>
      <c r="AB35">
        <v>80.3</v>
      </c>
      <c r="AC35">
        <v>1.2</v>
      </c>
    </row>
    <row r="36" spans="1:29" x14ac:dyDescent="0.3">
      <c r="A36">
        <v>5</v>
      </c>
      <c r="B36">
        <v>35</v>
      </c>
      <c r="C36" t="str">
        <f ca="1">LOOKUP(A36,RQ3_reference!A$2:A$199,RQ3_reference!B$2:B$196)</f>
        <v>Biasato_2019_Partially</v>
      </c>
      <c r="D36" t="s">
        <v>145</v>
      </c>
      <c r="E36" t="s">
        <v>64</v>
      </c>
      <c r="H36">
        <v>37</v>
      </c>
      <c r="L36" t="s">
        <v>14</v>
      </c>
      <c r="M36" t="s">
        <v>18</v>
      </c>
      <c r="N36" t="s">
        <v>23</v>
      </c>
      <c r="O36" t="s">
        <v>63</v>
      </c>
      <c r="P36">
        <v>17</v>
      </c>
      <c r="Q36" s="6" t="s">
        <v>37</v>
      </c>
      <c r="R36" s="6" t="s">
        <v>35</v>
      </c>
      <c r="S36" t="s">
        <v>34</v>
      </c>
      <c r="T36" s="6">
        <v>5</v>
      </c>
      <c r="U36" t="s">
        <v>77</v>
      </c>
      <c r="V36" s="7">
        <v>0.32</v>
      </c>
      <c r="W36">
        <v>16</v>
      </c>
      <c r="X36" t="s">
        <v>24</v>
      </c>
      <c r="Y36" t="s">
        <v>195</v>
      </c>
      <c r="Z36">
        <v>77.5</v>
      </c>
      <c r="AA36">
        <v>1.5</v>
      </c>
      <c r="AB36">
        <v>76.599999999999994</v>
      </c>
      <c r="AC36">
        <v>1.5</v>
      </c>
    </row>
    <row r="37" spans="1:29" x14ac:dyDescent="0.3">
      <c r="A37">
        <v>5</v>
      </c>
      <c r="B37">
        <v>36</v>
      </c>
      <c r="C37" t="str">
        <f ca="1">LOOKUP(A37,RQ3_reference!A$2:A$199,RQ3_reference!B$2:B$196)</f>
        <v>Biasato_2019_Partially</v>
      </c>
      <c r="D37" t="s">
        <v>145</v>
      </c>
      <c r="E37" t="s">
        <v>64</v>
      </c>
      <c r="H37">
        <v>37</v>
      </c>
      <c r="L37" t="s">
        <v>14</v>
      </c>
      <c r="M37" t="s">
        <v>18</v>
      </c>
      <c r="N37" t="s">
        <v>23</v>
      </c>
      <c r="O37" t="s">
        <v>63</v>
      </c>
      <c r="P37">
        <v>17</v>
      </c>
      <c r="Q37" s="6" t="s">
        <v>37</v>
      </c>
      <c r="R37" s="6" t="s">
        <v>35</v>
      </c>
      <c r="S37" t="s">
        <v>34</v>
      </c>
      <c r="T37" s="6">
        <v>10</v>
      </c>
      <c r="U37" t="s">
        <v>77</v>
      </c>
      <c r="V37" s="7">
        <v>0.65</v>
      </c>
      <c r="W37">
        <v>16</v>
      </c>
      <c r="X37" t="s">
        <v>24</v>
      </c>
      <c r="Y37" t="s">
        <v>195</v>
      </c>
      <c r="Z37">
        <v>79.5</v>
      </c>
      <c r="AA37">
        <v>1.5</v>
      </c>
      <c r="AB37">
        <v>76.599999999999994</v>
      </c>
      <c r="AC37">
        <v>1.5</v>
      </c>
    </row>
    <row r="38" spans="1:29" x14ac:dyDescent="0.3">
      <c r="A38">
        <v>5</v>
      </c>
      <c r="B38">
        <v>37</v>
      </c>
      <c r="C38" t="str">
        <f ca="1">LOOKUP(A38,RQ3_reference!A$2:A$199,RQ3_reference!B$2:B$196)</f>
        <v>Biasato_2019_Partially</v>
      </c>
      <c r="D38" t="s">
        <v>145</v>
      </c>
      <c r="E38" t="s">
        <v>64</v>
      </c>
      <c r="H38">
        <v>23</v>
      </c>
      <c r="L38" t="s">
        <v>14</v>
      </c>
      <c r="M38" t="s">
        <v>18</v>
      </c>
      <c r="N38" t="s">
        <v>23</v>
      </c>
      <c r="O38" t="s">
        <v>62</v>
      </c>
      <c r="P38">
        <v>17.899999999999999</v>
      </c>
      <c r="Q38" s="6" t="s">
        <v>37</v>
      </c>
      <c r="R38" s="6" t="s">
        <v>35</v>
      </c>
      <c r="S38" t="s">
        <v>34</v>
      </c>
      <c r="T38" s="6">
        <v>5</v>
      </c>
      <c r="U38" t="s">
        <v>76</v>
      </c>
      <c r="V38" s="7">
        <v>0.3</v>
      </c>
      <c r="W38">
        <v>16</v>
      </c>
      <c r="X38" t="s">
        <v>198</v>
      </c>
      <c r="Y38" t="s">
        <v>25</v>
      </c>
      <c r="Z38">
        <v>1.42</v>
      </c>
      <c r="AA38">
        <v>0.03</v>
      </c>
      <c r="AB38">
        <v>1.35</v>
      </c>
      <c r="AC38">
        <v>0.03</v>
      </c>
    </row>
    <row r="39" spans="1:29" x14ac:dyDescent="0.3">
      <c r="A39">
        <v>5</v>
      </c>
      <c r="B39">
        <v>38</v>
      </c>
      <c r="C39" t="str">
        <f ca="1">LOOKUP(A39,RQ3_reference!A$2:A$199,RQ3_reference!B$2:B$196)</f>
        <v>Biasato_2019_Partially</v>
      </c>
      <c r="D39" t="s">
        <v>145</v>
      </c>
      <c r="E39" t="s">
        <v>64</v>
      </c>
      <c r="H39">
        <v>23</v>
      </c>
      <c r="L39" t="s">
        <v>14</v>
      </c>
      <c r="M39" t="s">
        <v>18</v>
      </c>
      <c r="N39" t="s">
        <v>23</v>
      </c>
      <c r="O39" t="s">
        <v>62</v>
      </c>
      <c r="P39">
        <v>17.899999999999999</v>
      </c>
      <c r="Q39" s="6" t="s">
        <v>37</v>
      </c>
      <c r="R39" s="6" t="s">
        <v>35</v>
      </c>
      <c r="S39" t="s">
        <v>34</v>
      </c>
      <c r="T39" s="6">
        <v>10</v>
      </c>
      <c r="U39" t="s">
        <v>76</v>
      </c>
      <c r="V39" s="7">
        <v>0.6</v>
      </c>
      <c r="W39">
        <v>16</v>
      </c>
      <c r="X39" t="s">
        <v>198</v>
      </c>
      <c r="Y39" t="s">
        <v>25</v>
      </c>
      <c r="Z39">
        <v>1.41</v>
      </c>
      <c r="AA39">
        <v>0.03</v>
      </c>
      <c r="AB39">
        <v>1.35</v>
      </c>
      <c r="AC39">
        <v>0.03</v>
      </c>
    </row>
    <row r="40" spans="1:29" x14ac:dyDescent="0.3">
      <c r="A40">
        <v>5</v>
      </c>
      <c r="B40">
        <v>39</v>
      </c>
      <c r="C40" t="str">
        <f ca="1">LOOKUP(A40,RQ3_reference!A$2:A$199,RQ3_reference!B$2:B$196)</f>
        <v>Biasato_2019_Partially</v>
      </c>
      <c r="D40" t="s">
        <v>145</v>
      </c>
      <c r="E40" t="s">
        <v>64</v>
      </c>
      <c r="H40">
        <v>37</v>
      </c>
      <c r="L40" t="s">
        <v>14</v>
      </c>
      <c r="M40" t="s">
        <v>18</v>
      </c>
      <c r="N40" t="s">
        <v>23</v>
      </c>
      <c r="O40" t="s">
        <v>63</v>
      </c>
      <c r="P40">
        <v>17</v>
      </c>
      <c r="Q40" s="6" t="s">
        <v>37</v>
      </c>
      <c r="R40" s="6" t="s">
        <v>35</v>
      </c>
      <c r="S40" t="s">
        <v>34</v>
      </c>
      <c r="T40" s="6">
        <v>5</v>
      </c>
      <c r="U40" t="s">
        <v>77</v>
      </c>
      <c r="V40" s="7">
        <v>0.32</v>
      </c>
      <c r="W40">
        <v>16</v>
      </c>
      <c r="X40" t="s">
        <v>198</v>
      </c>
      <c r="Y40" t="s">
        <v>25</v>
      </c>
      <c r="Z40">
        <v>1.79</v>
      </c>
      <c r="AA40">
        <v>3.7999999999999999E-2</v>
      </c>
      <c r="AB40">
        <v>1.81</v>
      </c>
      <c r="AC40">
        <v>3.7999999999999999E-2</v>
      </c>
    </row>
    <row r="41" spans="1:29" x14ac:dyDescent="0.3">
      <c r="A41">
        <v>5</v>
      </c>
      <c r="B41">
        <v>40</v>
      </c>
      <c r="C41" t="str">
        <f ca="1">LOOKUP(A41,RQ3_reference!A$2:A$199,RQ3_reference!B$2:B$196)</f>
        <v>Biasato_2019_Partially</v>
      </c>
      <c r="D41" t="s">
        <v>145</v>
      </c>
      <c r="E41" t="s">
        <v>64</v>
      </c>
      <c r="H41">
        <v>37</v>
      </c>
      <c r="L41" t="s">
        <v>14</v>
      </c>
      <c r="M41" t="s">
        <v>18</v>
      </c>
      <c r="N41" t="s">
        <v>23</v>
      </c>
      <c r="O41" t="s">
        <v>63</v>
      </c>
      <c r="P41">
        <v>17</v>
      </c>
      <c r="Q41" s="6" t="s">
        <v>37</v>
      </c>
      <c r="R41" s="6" t="s">
        <v>35</v>
      </c>
      <c r="S41" t="s">
        <v>34</v>
      </c>
      <c r="T41" s="6">
        <v>10</v>
      </c>
      <c r="U41" t="s">
        <v>77</v>
      </c>
      <c r="V41" s="7">
        <v>0.65</v>
      </c>
      <c r="W41">
        <v>16</v>
      </c>
      <c r="X41" t="s">
        <v>198</v>
      </c>
      <c r="Y41" t="s">
        <v>25</v>
      </c>
      <c r="Z41">
        <v>1.76</v>
      </c>
      <c r="AA41">
        <v>3.7999999999999999E-2</v>
      </c>
      <c r="AB41">
        <v>1.81</v>
      </c>
      <c r="AC41">
        <v>3.7999999999999999E-2</v>
      </c>
    </row>
    <row r="42" spans="1:29" x14ac:dyDescent="0.3">
      <c r="A42">
        <v>6</v>
      </c>
      <c r="B42">
        <v>41</v>
      </c>
      <c r="C42" t="str">
        <f ca="1">LOOKUP(A42,RQ3_reference!A$2:A$199,RQ3_reference!B$2:B$196)</f>
        <v xml:space="preserve">Sobotka_2021_The </v>
      </c>
      <c r="D42" t="s">
        <v>72</v>
      </c>
      <c r="E42" t="s">
        <v>183</v>
      </c>
      <c r="H42">
        <v>12</v>
      </c>
      <c r="L42" t="s">
        <v>14</v>
      </c>
      <c r="M42" t="s">
        <v>18</v>
      </c>
      <c r="N42" t="s">
        <v>23</v>
      </c>
      <c r="O42" t="s">
        <v>69</v>
      </c>
      <c r="P42">
        <v>17</v>
      </c>
      <c r="Q42" s="6" t="s">
        <v>37</v>
      </c>
      <c r="R42" s="6" t="s">
        <v>66</v>
      </c>
      <c r="S42" s="6" t="s">
        <v>66</v>
      </c>
      <c r="T42" s="6">
        <v>12</v>
      </c>
      <c r="U42" t="s">
        <v>76</v>
      </c>
      <c r="V42" s="7">
        <v>0.5</v>
      </c>
      <c r="W42">
        <v>7</v>
      </c>
      <c r="X42" t="s">
        <v>208</v>
      </c>
      <c r="Y42" t="s">
        <v>209</v>
      </c>
      <c r="Z42">
        <v>0.91500000000000004</v>
      </c>
      <c r="AA42">
        <v>7.4000000000000003E-3</v>
      </c>
      <c r="AB42">
        <v>0.92900000000000005</v>
      </c>
      <c r="AC42">
        <v>7.4000000000000003E-3</v>
      </c>
    </row>
    <row r="43" spans="1:29" x14ac:dyDescent="0.3">
      <c r="A43">
        <v>6</v>
      </c>
      <c r="B43">
        <v>42</v>
      </c>
      <c r="C43" t="str">
        <f ca="1">LOOKUP(A43,RQ3_reference!A$2:A$199,RQ3_reference!B$2:B$196)</f>
        <v xml:space="preserve">Sobotka_2021_The </v>
      </c>
      <c r="D43" t="s">
        <v>72</v>
      </c>
      <c r="E43" t="s">
        <v>183</v>
      </c>
      <c r="H43">
        <v>12</v>
      </c>
      <c r="L43" t="s">
        <v>14</v>
      </c>
      <c r="M43" t="s">
        <v>18</v>
      </c>
      <c r="N43" t="s">
        <v>23</v>
      </c>
      <c r="O43" t="s">
        <v>69</v>
      </c>
      <c r="P43">
        <v>17</v>
      </c>
      <c r="Q43" s="6" t="s">
        <v>37</v>
      </c>
      <c r="R43" s="6" t="s">
        <v>42</v>
      </c>
      <c r="S43" s="6" t="s">
        <v>67</v>
      </c>
      <c r="T43" s="6">
        <v>10</v>
      </c>
      <c r="U43" t="s">
        <v>76</v>
      </c>
      <c r="V43" s="7">
        <v>0.25</v>
      </c>
      <c r="W43">
        <v>7</v>
      </c>
      <c r="X43" t="s">
        <v>208</v>
      </c>
      <c r="Y43" t="s">
        <v>209</v>
      </c>
      <c r="Z43">
        <v>0.95599999999999996</v>
      </c>
      <c r="AA43">
        <v>7.4000000000000003E-3</v>
      </c>
      <c r="AB43">
        <v>0.92900000000000005</v>
      </c>
      <c r="AC43">
        <v>7.4000000000000003E-3</v>
      </c>
    </row>
    <row r="44" spans="1:29" x14ac:dyDescent="0.3">
      <c r="A44">
        <v>6</v>
      </c>
      <c r="B44">
        <v>43</v>
      </c>
      <c r="C44" t="str">
        <f ca="1">LOOKUP(A44,RQ3_reference!A$2:A$199,RQ3_reference!B$2:B$196)</f>
        <v xml:space="preserve">Sobotka_2021_The </v>
      </c>
      <c r="D44" t="s">
        <v>72</v>
      </c>
      <c r="E44" t="s">
        <v>183</v>
      </c>
      <c r="H44">
        <v>12</v>
      </c>
      <c r="L44" t="s">
        <v>14</v>
      </c>
      <c r="M44" t="s">
        <v>18</v>
      </c>
      <c r="N44" t="s">
        <v>23</v>
      </c>
      <c r="O44" t="s">
        <v>69</v>
      </c>
      <c r="P44">
        <v>17</v>
      </c>
      <c r="Q44" s="6" t="s">
        <v>37</v>
      </c>
      <c r="R44" s="6" t="s">
        <v>42</v>
      </c>
      <c r="S44" s="6" t="s">
        <v>68</v>
      </c>
      <c r="T44" s="6">
        <v>6</v>
      </c>
      <c r="U44" t="s">
        <v>76</v>
      </c>
      <c r="V44" s="7">
        <v>0.25</v>
      </c>
      <c r="W44">
        <v>7</v>
      </c>
      <c r="X44" t="s">
        <v>208</v>
      </c>
      <c r="Y44" t="s">
        <v>209</v>
      </c>
      <c r="Z44">
        <v>0.98099999999999998</v>
      </c>
      <c r="AA44">
        <v>7.4000000000000003E-3</v>
      </c>
      <c r="AB44">
        <v>0.92900000000000005</v>
      </c>
      <c r="AC44">
        <v>7.4000000000000003E-3</v>
      </c>
    </row>
    <row r="45" spans="1:29" x14ac:dyDescent="0.3">
      <c r="A45">
        <v>6</v>
      </c>
      <c r="B45">
        <v>44</v>
      </c>
      <c r="C45" t="str">
        <f ca="1">LOOKUP(A45,RQ3_reference!A$2:A$199,RQ3_reference!B$2:B$196)</f>
        <v xml:space="preserve">Sobotka_2021_The </v>
      </c>
      <c r="D45" t="s">
        <v>72</v>
      </c>
      <c r="E45" t="s">
        <v>183</v>
      </c>
      <c r="H45">
        <v>12</v>
      </c>
      <c r="L45" t="s">
        <v>14</v>
      </c>
      <c r="M45" t="s">
        <v>18</v>
      </c>
      <c r="N45" t="s">
        <v>23</v>
      </c>
      <c r="O45" t="s">
        <v>70</v>
      </c>
      <c r="P45">
        <v>14.8</v>
      </c>
      <c r="Q45" s="6" t="s">
        <v>37</v>
      </c>
      <c r="R45" s="6" t="s">
        <v>66</v>
      </c>
      <c r="S45" s="6" t="s">
        <v>66</v>
      </c>
      <c r="T45" s="6">
        <v>13</v>
      </c>
      <c r="U45" t="s">
        <v>77</v>
      </c>
      <c r="V45" s="7">
        <v>1</v>
      </c>
      <c r="W45">
        <v>7</v>
      </c>
      <c r="X45" t="s">
        <v>208</v>
      </c>
      <c r="Y45" t="s">
        <v>209</v>
      </c>
      <c r="Z45">
        <v>0.98599999999999999</v>
      </c>
      <c r="AA45">
        <v>9.5999999999999992E-3</v>
      </c>
      <c r="AB45">
        <v>1.0549999999999999</v>
      </c>
      <c r="AC45">
        <v>9.5999999999999992E-3</v>
      </c>
    </row>
    <row r="46" spans="1:29" x14ac:dyDescent="0.3">
      <c r="A46">
        <v>6</v>
      </c>
      <c r="B46">
        <v>45</v>
      </c>
      <c r="C46" t="str">
        <f ca="1">LOOKUP(A46,RQ3_reference!A$2:A$199,RQ3_reference!B$2:B$196)</f>
        <v xml:space="preserve">Sobotka_2021_The </v>
      </c>
      <c r="D46" t="s">
        <v>72</v>
      </c>
      <c r="E46" t="s">
        <v>183</v>
      </c>
      <c r="H46">
        <v>12</v>
      </c>
      <c r="L46" t="s">
        <v>14</v>
      </c>
      <c r="M46" t="s">
        <v>18</v>
      </c>
      <c r="N46" t="s">
        <v>23</v>
      </c>
      <c r="O46" t="s">
        <v>70</v>
      </c>
      <c r="P46">
        <v>14.8</v>
      </c>
      <c r="Q46" s="6" t="s">
        <v>37</v>
      </c>
      <c r="R46" s="6" t="s">
        <v>42</v>
      </c>
      <c r="S46" s="6" t="s">
        <v>67</v>
      </c>
      <c r="T46" s="6">
        <v>12</v>
      </c>
      <c r="U46" t="s">
        <v>77</v>
      </c>
      <c r="V46" s="7">
        <v>0.5</v>
      </c>
      <c r="W46">
        <v>7</v>
      </c>
      <c r="X46" t="s">
        <v>208</v>
      </c>
      <c r="Y46" t="s">
        <v>209</v>
      </c>
      <c r="Z46">
        <v>0.99399999999999999</v>
      </c>
      <c r="AA46">
        <v>9.5999999999999992E-3</v>
      </c>
      <c r="AB46">
        <v>1.0549999999999999</v>
      </c>
      <c r="AC46">
        <v>9.5999999999999992E-3</v>
      </c>
    </row>
    <row r="47" spans="1:29" x14ac:dyDescent="0.3">
      <c r="A47">
        <v>6</v>
      </c>
      <c r="B47">
        <v>46</v>
      </c>
      <c r="C47" t="str">
        <f ca="1">LOOKUP(A47,RQ3_reference!A$2:A$199,RQ3_reference!B$2:B$196)</f>
        <v xml:space="preserve">Sobotka_2021_The </v>
      </c>
      <c r="D47" t="s">
        <v>72</v>
      </c>
      <c r="E47" t="s">
        <v>183</v>
      </c>
      <c r="H47">
        <v>12</v>
      </c>
      <c r="L47" t="s">
        <v>14</v>
      </c>
      <c r="M47" t="s">
        <v>18</v>
      </c>
      <c r="N47" t="s">
        <v>23</v>
      </c>
      <c r="O47" t="s">
        <v>70</v>
      </c>
      <c r="P47">
        <v>14.8</v>
      </c>
      <c r="Q47" s="6" t="s">
        <v>37</v>
      </c>
      <c r="R47" s="6" t="s">
        <v>42</v>
      </c>
      <c r="S47" s="6" t="s">
        <v>68</v>
      </c>
      <c r="T47" s="6">
        <v>7</v>
      </c>
      <c r="U47" t="s">
        <v>77</v>
      </c>
      <c r="V47" s="7">
        <v>0.5</v>
      </c>
      <c r="W47">
        <v>7</v>
      </c>
      <c r="X47" t="s">
        <v>208</v>
      </c>
      <c r="Y47" t="s">
        <v>209</v>
      </c>
      <c r="Z47">
        <v>1.03</v>
      </c>
      <c r="AA47">
        <v>9.5999999999999992E-3</v>
      </c>
      <c r="AB47">
        <v>1.0549999999999999</v>
      </c>
      <c r="AC47">
        <v>9.5999999999999992E-3</v>
      </c>
    </row>
    <row r="48" spans="1:29" x14ac:dyDescent="0.3">
      <c r="A48">
        <v>6</v>
      </c>
      <c r="B48">
        <v>47</v>
      </c>
      <c r="C48" t="str">
        <f ca="1">LOOKUP(A48,RQ3_reference!A$2:A$199,RQ3_reference!B$2:B$196)</f>
        <v xml:space="preserve">Sobotka_2021_The </v>
      </c>
      <c r="D48" t="s">
        <v>72</v>
      </c>
      <c r="E48" t="s">
        <v>183</v>
      </c>
      <c r="H48">
        <v>12</v>
      </c>
      <c r="L48" t="s">
        <v>14</v>
      </c>
      <c r="M48" t="s">
        <v>18</v>
      </c>
      <c r="N48" t="s">
        <v>23</v>
      </c>
      <c r="O48" t="s">
        <v>69</v>
      </c>
      <c r="P48">
        <v>17</v>
      </c>
      <c r="Q48" s="6" t="s">
        <v>37</v>
      </c>
      <c r="R48" s="6" t="s">
        <v>66</v>
      </c>
      <c r="S48" s="6" t="s">
        <v>66</v>
      </c>
      <c r="T48" s="6">
        <v>12</v>
      </c>
      <c r="U48" t="s">
        <v>76</v>
      </c>
      <c r="V48" s="7">
        <v>0.5</v>
      </c>
      <c r="W48">
        <v>7</v>
      </c>
      <c r="X48" t="s">
        <v>24</v>
      </c>
      <c r="Y48" t="s">
        <v>195</v>
      </c>
      <c r="Z48">
        <v>84.5</v>
      </c>
      <c r="AA48">
        <v>0.499</v>
      </c>
      <c r="AB48">
        <v>87.8</v>
      </c>
      <c r="AC48">
        <v>0.499</v>
      </c>
    </row>
    <row r="49" spans="1:29" x14ac:dyDescent="0.3">
      <c r="A49">
        <v>6</v>
      </c>
      <c r="B49">
        <v>48</v>
      </c>
      <c r="C49" t="str">
        <f ca="1">LOOKUP(A49,RQ3_reference!A$2:A$199,RQ3_reference!B$2:B$196)</f>
        <v xml:space="preserve">Sobotka_2021_The </v>
      </c>
      <c r="D49" t="s">
        <v>72</v>
      </c>
      <c r="E49" t="s">
        <v>183</v>
      </c>
      <c r="H49">
        <v>12</v>
      </c>
      <c r="L49" t="s">
        <v>14</v>
      </c>
      <c r="M49" t="s">
        <v>18</v>
      </c>
      <c r="N49" t="s">
        <v>23</v>
      </c>
      <c r="O49" t="s">
        <v>69</v>
      </c>
      <c r="P49">
        <v>17</v>
      </c>
      <c r="Q49" s="6" t="s">
        <v>37</v>
      </c>
      <c r="R49" s="6" t="s">
        <v>42</v>
      </c>
      <c r="S49" s="6" t="s">
        <v>67</v>
      </c>
      <c r="T49" s="6">
        <v>10</v>
      </c>
      <c r="U49" t="s">
        <v>76</v>
      </c>
      <c r="V49" s="7">
        <v>0.25</v>
      </c>
      <c r="W49">
        <v>7</v>
      </c>
      <c r="X49" t="s">
        <v>24</v>
      </c>
      <c r="Y49" t="s">
        <v>195</v>
      </c>
      <c r="Z49">
        <v>87.3</v>
      </c>
      <c r="AA49">
        <v>0.499</v>
      </c>
      <c r="AB49">
        <v>87.8</v>
      </c>
      <c r="AC49">
        <v>0.499</v>
      </c>
    </row>
    <row r="50" spans="1:29" x14ac:dyDescent="0.3">
      <c r="A50">
        <v>6</v>
      </c>
      <c r="B50">
        <v>49</v>
      </c>
      <c r="C50" t="str">
        <f ca="1">LOOKUP(A50,RQ3_reference!A$2:A$199,RQ3_reference!B$2:B$196)</f>
        <v xml:space="preserve">Sobotka_2021_The </v>
      </c>
      <c r="D50" t="s">
        <v>72</v>
      </c>
      <c r="E50" t="s">
        <v>183</v>
      </c>
      <c r="H50">
        <v>12</v>
      </c>
      <c r="L50" t="s">
        <v>14</v>
      </c>
      <c r="M50" t="s">
        <v>18</v>
      </c>
      <c r="N50" t="s">
        <v>23</v>
      </c>
      <c r="O50" t="s">
        <v>69</v>
      </c>
      <c r="P50">
        <v>17</v>
      </c>
      <c r="Q50" s="6" t="s">
        <v>37</v>
      </c>
      <c r="R50" s="6" t="s">
        <v>42</v>
      </c>
      <c r="S50" s="6" t="s">
        <v>68</v>
      </c>
      <c r="T50" s="6">
        <v>6</v>
      </c>
      <c r="U50" t="s">
        <v>76</v>
      </c>
      <c r="V50" s="7">
        <v>0.25</v>
      </c>
      <c r="W50">
        <v>7</v>
      </c>
      <c r="X50" t="s">
        <v>24</v>
      </c>
      <c r="Y50" t="s">
        <v>195</v>
      </c>
      <c r="Z50">
        <v>87.4</v>
      </c>
      <c r="AA50">
        <v>0.499</v>
      </c>
      <c r="AB50">
        <v>87.8</v>
      </c>
      <c r="AC50">
        <v>0.499</v>
      </c>
    </row>
    <row r="51" spans="1:29" x14ac:dyDescent="0.3">
      <c r="A51">
        <v>6</v>
      </c>
      <c r="B51">
        <v>50</v>
      </c>
      <c r="C51" t="str">
        <f ca="1">LOOKUP(A51,RQ3_reference!A$2:A$199,RQ3_reference!B$2:B$196)</f>
        <v xml:space="preserve">Sobotka_2021_The </v>
      </c>
      <c r="D51" t="s">
        <v>72</v>
      </c>
      <c r="E51" t="s">
        <v>183</v>
      </c>
      <c r="H51">
        <v>12</v>
      </c>
      <c r="L51" t="s">
        <v>14</v>
      </c>
      <c r="M51" t="s">
        <v>18</v>
      </c>
      <c r="N51" t="s">
        <v>23</v>
      </c>
      <c r="O51" t="s">
        <v>70</v>
      </c>
      <c r="P51">
        <v>14.8</v>
      </c>
      <c r="Q51" s="6" t="s">
        <v>37</v>
      </c>
      <c r="R51" s="6" t="s">
        <v>66</v>
      </c>
      <c r="S51" s="6" t="s">
        <v>66</v>
      </c>
      <c r="T51" s="6">
        <v>13</v>
      </c>
      <c r="U51" t="s">
        <v>77</v>
      </c>
      <c r="V51" s="7">
        <v>1</v>
      </c>
      <c r="W51">
        <v>7</v>
      </c>
      <c r="X51" t="s">
        <v>24</v>
      </c>
      <c r="Y51" t="s">
        <v>195</v>
      </c>
      <c r="Z51">
        <v>84.4</v>
      </c>
      <c r="AA51">
        <v>0.39400000000000002</v>
      </c>
      <c r="AB51">
        <v>86.8</v>
      </c>
      <c r="AC51">
        <v>0.39400000000000002</v>
      </c>
    </row>
    <row r="52" spans="1:29" x14ac:dyDescent="0.3">
      <c r="A52">
        <v>6</v>
      </c>
      <c r="B52">
        <v>51</v>
      </c>
      <c r="C52" t="str">
        <f ca="1">LOOKUP(A52,RQ3_reference!A$2:A$199,RQ3_reference!B$2:B$196)</f>
        <v xml:space="preserve">Sobotka_2021_The </v>
      </c>
      <c r="D52" t="s">
        <v>72</v>
      </c>
      <c r="E52" t="s">
        <v>183</v>
      </c>
      <c r="H52">
        <v>12</v>
      </c>
      <c r="L52" t="s">
        <v>14</v>
      </c>
      <c r="M52" t="s">
        <v>18</v>
      </c>
      <c r="N52" t="s">
        <v>23</v>
      </c>
      <c r="O52" t="s">
        <v>70</v>
      </c>
      <c r="P52">
        <v>14.8</v>
      </c>
      <c r="Q52" s="6" t="s">
        <v>37</v>
      </c>
      <c r="R52" s="6" t="s">
        <v>42</v>
      </c>
      <c r="S52" s="6" t="s">
        <v>67</v>
      </c>
      <c r="T52" s="6">
        <v>12</v>
      </c>
      <c r="U52" t="s">
        <v>77</v>
      </c>
      <c r="V52" s="7">
        <v>0.5</v>
      </c>
      <c r="W52">
        <v>7</v>
      </c>
      <c r="X52" t="s">
        <v>24</v>
      </c>
      <c r="Y52" t="s">
        <v>195</v>
      </c>
      <c r="Z52">
        <v>84.9</v>
      </c>
      <c r="AA52">
        <v>0.39400000000000002</v>
      </c>
      <c r="AB52">
        <v>86.8</v>
      </c>
      <c r="AC52">
        <v>0.39400000000000002</v>
      </c>
    </row>
    <row r="53" spans="1:29" x14ac:dyDescent="0.3">
      <c r="A53">
        <v>6</v>
      </c>
      <c r="B53">
        <v>52</v>
      </c>
      <c r="C53" t="str">
        <f ca="1">LOOKUP(A53,RQ3_reference!A$2:A$199,RQ3_reference!B$2:B$196)</f>
        <v xml:space="preserve">Sobotka_2021_The </v>
      </c>
      <c r="D53" t="s">
        <v>72</v>
      </c>
      <c r="E53" t="s">
        <v>183</v>
      </c>
      <c r="H53">
        <v>12</v>
      </c>
      <c r="L53" t="s">
        <v>14</v>
      </c>
      <c r="M53" t="s">
        <v>18</v>
      </c>
      <c r="N53" t="s">
        <v>23</v>
      </c>
      <c r="O53" t="s">
        <v>70</v>
      </c>
      <c r="P53">
        <v>14.8</v>
      </c>
      <c r="Q53" s="6" t="s">
        <v>37</v>
      </c>
      <c r="R53" s="6" t="s">
        <v>42</v>
      </c>
      <c r="S53" s="6" t="s">
        <v>68</v>
      </c>
      <c r="T53" s="6">
        <v>7</v>
      </c>
      <c r="U53" t="s">
        <v>77</v>
      </c>
      <c r="V53" s="7">
        <v>0.5</v>
      </c>
      <c r="W53">
        <v>7</v>
      </c>
      <c r="X53" t="s">
        <v>24</v>
      </c>
      <c r="Y53" t="s">
        <v>195</v>
      </c>
      <c r="Z53">
        <v>86</v>
      </c>
      <c r="AA53">
        <v>0.39400000000000002</v>
      </c>
      <c r="AB53">
        <v>86.8</v>
      </c>
      <c r="AC53">
        <v>0.39400000000000002</v>
      </c>
    </row>
    <row r="54" spans="1:29" x14ac:dyDescent="0.3">
      <c r="A54">
        <v>6</v>
      </c>
      <c r="B54">
        <v>53</v>
      </c>
      <c r="C54" t="str">
        <f ca="1">LOOKUP(A54,RQ3_reference!A$2:A$199,RQ3_reference!B$2:B$196)</f>
        <v xml:space="preserve">Sobotka_2021_The </v>
      </c>
      <c r="D54" t="s">
        <v>72</v>
      </c>
      <c r="E54" t="s">
        <v>183</v>
      </c>
      <c r="H54">
        <v>12</v>
      </c>
      <c r="L54" t="s">
        <v>14</v>
      </c>
      <c r="M54" t="s">
        <v>18</v>
      </c>
      <c r="N54" t="s">
        <v>23</v>
      </c>
      <c r="O54" t="s">
        <v>69</v>
      </c>
      <c r="P54">
        <v>17</v>
      </c>
      <c r="Q54" s="6" t="s">
        <v>37</v>
      </c>
      <c r="R54" s="6" t="s">
        <v>66</v>
      </c>
      <c r="S54" s="6" t="s">
        <v>66</v>
      </c>
      <c r="T54" s="6">
        <v>12</v>
      </c>
      <c r="U54" t="s">
        <v>76</v>
      </c>
      <c r="V54" s="7">
        <v>0.5</v>
      </c>
      <c r="W54">
        <v>7</v>
      </c>
      <c r="X54" t="s">
        <v>71</v>
      </c>
      <c r="Y54" t="s">
        <v>13</v>
      </c>
      <c r="Z54">
        <v>47.2</v>
      </c>
      <c r="AA54">
        <v>0.88200000000000001</v>
      </c>
      <c r="AB54">
        <v>48.9</v>
      </c>
      <c r="AC54">
        <v>0.88200000000000001</v>
      </c>
    </row>
    <row r="55" spans="1:29" x14ac:dyDescent="0.3">
      <c r="A55">
        <v>6</v>
      </c>
      <c r="B55">
        <v>54</v>
      </c>
      <c r="C55" t="str">
        <f ca="1">LOOKUP(A55,RQ3_reference!A$2:A$199,RQ3_reference!B$2:B$196)</f>
        <v xml:space="preserve">Sobotka_2021_The </v>
      </c>
      <c r="D55" t="s">
        <v>72</v>
      </c>
      <c r="E55" t="s">
        <v>183</v>
      </c>
      <c r="H55">
        <v>12</v>
      </c>
      <c r="L55" t="s">
        <v>14</v>
      </c>
      <c r="M55" t="s">
        <v>18</v>
      </c>
      <c r="N55" t="s">
        <v>23</v>
      </c>
      <c r="O55" t="s">
        <v>69</v>
      </c>
      <c r="P55">
        <v>17</v>
      </c>
      <c r="Q55" s="6" t="s">
        <v>37</v>
      </c>
      <c r="R55" s="6" t="s">
        <v>42</v>
      </c>
      <c r="S55" s="6" t="s">
        <v>67</v>
      </c>
      <c r="T55" s="6">
        <v>10</v>
      </c>
      <c r="U55" t="s">
        <v>76</v>
      </c>
      <c r="V55" s="7">
        <v>0.25</v>
      </c>
      <c r="W55">
        <v>7</v>
      </c>
      <c r="X55" t="s">
        <v>71</v>
      </c>
      <c r="Y55" t="s">
        <v>13</v>
      </c>
      <c r="Z55">
        <v>47.5</v>
      </c>
      <c r="AA55">
        <v>0.88200000000000001</v>
      </c>
      <c r="AB55">
        <v>48.9</v>
      </c>
      <c r="AC55">
        <v>0.88200000000000001</v>
      </c>
    </row>
    <row r="56" spans="1:29" x14ac:dyDescent="0.3">
      <c r="A56">
        <v>6</v>
      </c>
      <c r="B56">
        <v>55</v>
      </c>
      <c r="C56" t="str">
        <f ca="1">LOOKUP(A56,RQ3_reference!A$2:A$199,RQ3_reference!B$2:B$196)</f>
        <v xml:space="preserve">Sobotka_2021_The </v>
      </c>
      <c r="D56" t="s">
        <v>72</v>
      </c>
      <c r="E56" t="s">
        <v>183</v>
      </c>
      <c r="H56">
        <v>12</v>
      </c>
      <c r="L56" t="s">
        <v>14</v>
      </c>
      <c r="M56" t="s">
        <v>18</v>
      </c>
      <c r="N56" t="s">
        <v>23</v>
      </c>
      <c r="O56" t="s">
        <v>69</v>
      </c>
      <c r="P56">
        <v>17</v>
      </c>
      <c r="Q56" s="6" t="s">
        <v>37</v>
      </c>
      <c r="R56" s="6" t="s">
        <v>42</v>
      </c>
      <c r="S56" s="6" t="s">
        <v>68</v>
      </c>
      <c r="T56" s="6">
        <v>6</v>
      </c>
      <c r="U56" t="s">
        <v>76</v>
      </c>
      <c r="V56" s="7">
        <v>0.25</v>
      </c>
      <c r="W56">
        <v>7</v>
      </c>
      <c r="X56" t="s">
        <v>71</v>
      </c>
      <c r="Y56" t="s">
        <v>13</v>
      </c>
      <c r="Z56">
        <v>49.2</v>
      </c>
      <c r="AA56">
        <v>0.88200000000000001</v>
      </c>
      <c r="AB56">
        <v>48.9</v>
      </c>
      <c r="AC56">
        <v>0.88200000000000001</v>
      </c>
    </row>
    <row r="57" spans="1:29" x14ac:dyDescent="0.3">
      <c r="A57">
        <v>6</v>
      </c>
      <c r="B57">
        <v>56</v>
      </c>
      <c r="C57" t="str">
        <f ca="1">LOOKUP(A57,RQ3_reference!A$2:A$199,RQ3_reference!B$2:B$196)</f>
        <v xml:space="preserve">Sobotka_2021_The </v>
      </c>
      <c r="D57" t="s">
        <v>72</v>
      </c>
      <c r="E57" t="s">
        <v>183</v>
      </c>
      <c r="H57">
        <v>12</v>
      </c>
      <c r="L57" t="s">
        <v>14</v>
      </c>
      <c r="M57" t="s">
        <v>18</v>
      </c>
      <c r="N57" t="s">
        <v>23</v>
      </c>
      <c r="O57" t="s">
        <v>70</v>
      </c>
      <c r="P57">
        <v>14.8</v>
      </c>
      <c r="Q57" s="6" t="s">
        <v>37</v>
      </c>
      <c r="R57" s="6" t="s">
        <v>66</v>
      </c>
      <c r="S57" s="6" t="s">
        <v>66</v>
      </c>
      <c r="T57" s="6">
        <v>13</v>
      </c>
      <c r="U57" t="s">
        <v>77</v>
      </c>
      <c r="V57" s="7">
        <v>1</v>
      </c>
      <c r="W57">
        <v>7</v>
      </c>
      <c r="X57" t="s">
        <v>71</v>
      </c>
      <c r="Y57" t="s">
        <v>13</v>
      </c>
      <c r="Z57">
        <v>48.9</v>
      </c>
      <c r="AA57">
        <v>1.575</v>
      </c>
      <c r="AB57">
        <v>49.4</v>
      </c>
      <c r="AC57">
        <v>1.575</v>
      </c>
    </row>
    <row r="58" spans="1:29" x14ac:dyDescent="0.3">
      <c r="A58">
        <v>6</v>
      </c>
      <c r="B58">
        <v>57</v>
      </c>
      <c r="C58" t="str">
        <f ca="1">LOOKUP(A58,RQ3_reference!A$2:A$199,RQ3_reference!B$2:B$196)</f>
        <v xml:space="preserve">Sobotka_2021_The </v>
      </c>
      <c r="D58" t="s">
        <v>72</v>
      </c>
      <c r="E58" t="s">
        <v>183</v>
      </c>
      <c r="H58">
        <v>12</v>
      </c>
      <c r="L58" t="s">
        <v>14</v>
      </c>
      <c r="M58" t="s">
        <v>18</v>
      </c>
      <c r="N58" t="s">
        <v>23</v>
      </c>
      <c r="O58" t="s">
        <v>70</v>
      </c>
      <c r="P58">
        <v>14.8</v>
      </c>
      <c r="Q58" s="6" t="s">
        <v>37</v>
      </c>
      <c r="R58" s="6" t="s">
        <v>42</v>
      </c>
      <c r="S58" s="6" t="s">
        <v>67</v>
      </c>
      <c r="T58" s="6">
        <v>12</v>
      </c>
      <c r="U58" t="s">
        <v>77</v>
      </c>
      <c r="V58" s="7">
        <v>0.5</v>
      </c>
      <c r="W58">
        <v>7</v>
      </c>
      <c r="X58" t="s">
        <v>71</v>
      </c>
      <c r="Y58" t="s">
        <v>13</v>
      </c>
      <c r="Z58">
        <v>47.3</v>
      </c>
      <c r="AA58">
        <v>1.575</v>
      </c>
      <c r="AB58">
        <v>49.4</v>
      </c>
      <c r="AC58">
        <v>1.575</v>
      </c>
    </row>
    <row r="59" spans="1:29" x14ac:dyDescent="0.3">
      <c r="A59">
        <v>6</v>
      </c>
      <c r="B59">
        <v>58</v>
      </c>
      <c r="C59" t="str">
        <f ca="1">LOOKUP(A59,RQ3_reference!A$2:A$199,RQ3_reference!B$2:B$196)</f>
        <v xml:space="preserve">Sobotka_2021_The </v>
      </c>
      <c r="D59" t="s">
        <v>72</v>
      </c>
      <c r="E59" t="s">
        <v>183</v>
      </c>
      <c r="H59">
        <v>12</v>
      </c>
      <c r="L59" t="s">
        <v>14</v>
      </c>
      <c r="M59" t="s">
        <v>18</v>
      </c>
      <c r="N59" t="s">
        <v>23</v>
      </c>
      <c r="O59" t="s">
        <v>70</v>
      </c>
      <c r="P59">
        <v>14.8</v>
      </c>
      <c r="Q59" s="6" t="s">
        <v>37</v>
      </c>
      <c r="R59" s="6" t="s">
        <v>42</v>
      </c>
      <c r="S59" s="6" t="s">
        <v>68</v>
      </c>
      <c r="T59" s="6">
        <v>7</v>
      </c>
      <c r="U59" t="s">
        <v>77</v>
      </c>
      <c r="V59" s="7">
        <v>0.5</v>
      </c>
      <c r="W59">
        <v>7</v>
      </c>
      <c r="X59" t="s">
        <v>71</v>
      </c>
      <c r="Y59" t="s">
        <v>13</v>
      </c>
      <c r="Z59">
        <v>49.7</v>
      </c>
      <c r="AA59">
        <v>1.575</v>
      </c>
      <c r="AB59">
        <v>49.4</v>
      </c>
      <c r="AC59">
        <v>1.575</v>
      </c>
    </row>
    <row r="60" spans="1:29" x14ac:dyDescent="0.3">
      <c r="A60">
        <v>6</v>
      </c>
      <c r="B60">
        <v>59</v>
      </c>
      <c r="C60" t="str">
        <f ca="1">LOOKUP(A60,RQ3_reference!A$2:A$199,RQ3_reference!B$2:B$196)</f>
        <v xml:space="preserve">Sobotka_2021_The </v>
      </c>
      <c r="D60" t="s">
        <v>72</v>
      </c>
      <c r="E60" t="s">
        <v>183</v>
      </c>
      <c r="H60">
        <v>12</v>
      </c>
      <c r="L60" t="s">
        <v>14</v>
      </c>
      <c r="M60" t="s">
        <v>18</v>
      </c>
      <c r="N60" t="s">
        <v>23</v>
      </c>
      <c r="O60" t="s">
        <v>69</v>
      </c>
      <c r="P60">
        <v>17</v>
      </c>
      <c r="Q60" s="6" t="s">
        <v>37</v>
      </c>
      <c r="R60" s="6" t="s">
        <v>66</v>
      </c>
      <c r="S60" s="6" t="s">
        <v>66</v>
      </c>
      <c r="T60" s="6">
        <v>12</v>
      </c>
      <c r="U60" t="s">
        <v>76</v>
      </c>
      <c r="V60" s="7">
        <v>0.5</v>
      </c>
      <c r="W60">
        <v>7</v>
      </c>
      <c r="X60" t="s">
        <v>198</v>
      </c>
      <c r="Y60" t="s">
        <v>25</v>
      </c>
      <c r="Z60">
        <v>2.68</v>
      </c>
      <c r="AA60">
        <v>1.0999999999999999E-2</v>
      </c>
      <c r="AB60">
        <v>2.61</v>
      </c>
      <c r="AC60">
        <v>1.0999999999999999E-2</v>
      </c>
    </row>
    <row r="61" spans="1:29" x14ac:dyDescent="0.3">
      <c r="A61">
        <v>6</v>
      </c>
      <c r="B61">
        <v>60</v>
      </c>
      <c r="C61" t="str">
        <f ca="1">LOOKUP(A61,RQ3_reference!A$2:A$199,RQ3_reference!B$2:B$196)</f>
        <v xml:space="preserve">Sobotka_2021_The </v>
      </c>
      <c r="D61" t="s">
        <v>72</v>
      </c>
      <c r="E61" t="s">
        <v>183</v>
      </c>
      <c r="H61">
        <v>12</v>
      </c>
      <c r="L61" t="s">
        <v>14</v>
      </c>
      <c r="M61" t="s">
        <v>18</v>
      </c>
      <c r="N61" t="s">
        <v>23</v>
      </c>
      <c r="O61" t="s">
        <v>69</v>
      </c>
      <c r="P61">
        <v>17</v>
      </c>
      <c r="Q61" s="6" t="s">
        <v>37</v>
      </c>
      <c r="R61" s="6" t="s">
        <v>42</v>
      </c>
      <c r="S61" s="6" t="s">
        <v>67</v>
      </c>
      <c r="T61" s="6">
        <v>10</v>
      </c>
      <c r="U61" t="s">
        <v>76</v>
      </c>
      <c r="V61" s="7">
        <v>0.25</v>
      </c>
      <c r="W61">
        <v>7</v>
      </c>
      <c r="X61" t="s">
        <v>198</v>
      </c>
      <c r="Y61" t="s">
        <v>25</v>
      </c>
      <c r="Z61">
        <v>2.62</v>
      </c>
      <c r="AA61">
        <v>1.0999999999999999E-2</v>
      </c>
      <c r="AB61">
        <v>2.61</v>
      </c>
      <c r="AC61">
        <v>1.0999999999999999E-2</v>
      </c>
    </row>
    <row r="62" spans="1:29" x14ac:dyDescent="0.3">
      <c r="A62">
        <v>6</v>
      </c>
      <c r="B62">
        <v>61</v>
      </c>
      <c r="C62" t="str">
        <f ca="1">LOOKUP(A62,RQ3_reference!A$2:A$199,RQ3_reference!B$2:B$196)</f>
        <v xml:space="preserve">Sobotka_2021_The </v>
      </c>
      <c r="D62" t="s">
        <v>72</v>
      </c>
      <c r="E62" t="s">
        <v>183</v>
      </c>
      <c r="H62">
        <v>12</v>
      </c>
      <c r="L62" t="s">
        <v>14</v>
      </c>
      <c r="M62" t="s">
        <v>18</v>
      </c>
      <c r="N62" t="s">
        <v>23</v>
      </c>
      <c r="O62" t="s">
        <v>69</v>
      </c>
      <c r="P62">
        <v>17</v>
      </c>
      <c r="Q62" s="6" t="s">
        <v>37</v>
      </c>
      <c r="R62" s="6" t="s">
        <v>42</v>
      </c>
      <c r="S62" s="6" t="s">
        <v>68</v>
      </c>
      <c r="T62" s="6">
        <v>6</v>
      </c>
      <c r="U62" t="s">
        <v>76</v>
      </c>
      <c r="V62" s="7">
        <v>0.25</v>
      </c>
      <c r="W62">
        <v>7</v>
      </c>
      <c r="X62" t="s">
        <v>198</v>
      </c>
      <c r="Y62" t="s">
        <v>25</v>
      </c>
      <c r="Z62">
        <v>2.46</v>
      </c>
      <c r="AA62">
        <v>1.0999999999999999E-2</v>
      </c>
      <c r="AB62">
        <v>2.61</v>
      </c>
      <c r="AC62">
        <v>1.0999999999999999E-2</v>
      </c>
    </row>
    <row r="63" spans="1:29" x14ac:dyDescent="0.3">
      <c r="A63">
        <v>6</v>
      </c>
      <c r="B63">
        <v>62</v>
      </c>
      <c r="C63" t="str">
        <f ca="1">LOOKUP(A63,RQ3_reference!A$2:A$199,RQ3_reference!B$2:B$196)</f>
        <v xml:space="preserve">Sobotka_2021_The </v>
      </c>
      <c r="D63" t="s">
        <v>72</v>
      </c>
      <c r="E63" t="s">
        <v>183</v>
      </c>
      <c r="H63">
        <v>12</v>
      </c>
      <c r="L63" t="s">
        <v>14</v>
      </c>
      <c r="M63" t="s">
        <v>18</v>
      </c>
      <c r="N63" t="s">
        <v>23</v>
      </c>
      <c r="O63" t="s">
        <v>70</v>
      </c>
      <c r="P63">
        <v>14.8</v>
      </c>
      <c r="Q63" s="6" t="s">
        <v>37</v>
      </c>
      <c r="R63" s="6" t="s">
        <v>66</v>
      </c>
      <c r="S63" s="6" t="s">
        <v>66</v>
      </c>
      <c r="T63" s="6">
        <v>13</v>
      </c>
      <c r="U63" t="s">
        <v>77</v>
      </c>
      <c r="V63" s="7">
        <v>1</v>
      </c>
      <c r="W63">
        <v>7</v>
      </c>
      <c r="X63" t="s">
        <v>198</v>
      </c>
      <c r="Y63" t="s">
        <v>25</v>
      </c>
      <c r="Z63">
        <v>3.08</v>
      </c>
      <c r="AA63">
        <v>2.1000000000000001E-2</v>
      </c>
      <c r="AB63">
        <v>2.86</v>
      </c>
      <c r="AC63">
        <v>2.1000000000000001E-2</v>
      </c>
    </row>
    <row r="64" spans="1:29" x14ac:dyDescent="0.3">
      <c r="A64">
        <v>6</v>
      </c>
      <c r="B64">
        <v>63</v>
      </c>
      <c r="C64" t="str">
        <f ca="1">LOOKUP(A64,RQ3_reference!A$2:A$199,RQ3_reference!B$2:B$196)</f>
        <v xml:space="preserve">Sobotka_2021_The </v>
      </c>
      <c r="D64" t="s">
        <v>72</v>
      </c>
      <c r="E64" t="s">
        <v>183</v>
      </c>
      <c r="H64">
        <v>12</v>
      </c>
      <c r="L64" t="s">
        <v>14</v>
      </c>
      <c r="M64" t="s">
        <v>18</v>
      </c>
      <c r="N64" t="s">
        <v>23</v>
      </c>
      <c r="O64" t="s">
        <v>70</v>
      </c>
      <c r="P64">
        <v>14.8</v>
      </c>
      <c r="Q64" s="6" t="s">
        <v>37</v>
      </c>
      <c r="R64" s="6" t="s">
        <v>42</v>
      </c>
      <c r="S64" s="6" t="s">
        <v>67</v>
      </c>
      <c r="T64" s="6">
        <v>12</v>
      </c>
      <c r="U64" t="s">
        <v>77</v>
      </c>
      <c r="V64" s="7">
        <v>0.5</v>
      </c>
      <c r="W64">
        <v>7</v>
      </c>
      <c r="X64" t="s">
        <v>198</v>
      </c>
      <c r="Y64" t="s">
        <v>25</v>
      </c>
      <c r="Z64">
        <v>3.05</v>
      </c>
      <c r="AA64">
        <v>2.1000000000000001E-2</v>
      </c>
      <c r="AB64">
        <v>2.86</v>
      </c>
      <c r="AC64">
        <v>2.1000000000000001E-2</v>
      </c>
    </row>
    <row r="65" spans="1:29" x14ac:dyDescent="0.3">
      <c r="A65">
        <v>6</v>
      </c>
      <c r="B65">
        <v>64</v>
      </c>
      <c r="C65" t="str">
        <f ca="1">LOOKUP(A65,RQ3_reference!A$2:A$199,RQ3_reference!B$2:B$196)</f>
        <v xml:space="preserve">Sobotka_2021_The </v>
      </c>
      <c r="D65" t="s">
        <v>72</v>
      </c>
      <c r="E65" t="s">
        <v>183</v>
      </c>
      <c r="H65">
        <v>12</v>
      </c>
      <c r="L65" t="s">
        <v>14</v>
      </c>
      <c r="M65" t="s">
        <v>18</v>
      </c>
      <c r="N65" t="s">
        <v>23</v>
      </c>
      <c r="O65" t="s">
        <v>70</v>
      </c>
      <c r="P65">
        <v>14.8</v>
      </c>
      <c r="Q65" s="6" t="s">
        <v>37</v>
      </c>
      <c r="R65" s="6" t="s">
        <v>42</v>
      </c>
      <c r="S65" s="6" t="s">
        <v>68</v>
      </c>
      <c r="T65" s="6">
        <v>7</v>
      </c>
      <c r="U65" t="s">
        <v>77</v>
      </c>
      <c r="V65" s="7">
        <v>0.5</v>
      </c>
      <c r="W65">
        <v>7</v>
      </c>
      <c r="X65" t="s">
        <v>198</v>
      </c>
      <c r="Y65" t="s">
        <v>25</v>
      </c>
      <c r="Z65">
        <v>2.98</v>
      </c>
      <c r="AA65">
        <v>2.1000000000000001E-2</v>
      </c>
      <c r="AB65">
        <v>2.86</v>
      </c>
      <c r="AC65">
        <v>2.1000000000000001E-2</v>
      </c>
    </row>
    <row r="66" spans="1:29" x14ac:dyDescent="0.3">
      <c r="A66">
        <v>7</v>
      </c>
      <c r="B66">
        <v>65</v>
      </c>
      <c r="C66" t="str">
        <f ca="1">LOOKUP(A66,RQ3_reference!A$2:A$199,RQ3_reference!B$2:B$196)</f>
        <v>Degola_2018_The</v>
      </c>
      <c r="D66" t="s">
        <v>146</v>
      </c>
      <c r="E66" t="s">
        <v>181</v>
      </c>
      <c r="L66" t="s">
        <v>14</v>
      </c>
      <c r="M66" t="s">
        <v>18</v>
      </c>
      <c r="N66" t="s">
        <v>23</v>
      </c>
      <c r="O66" t="s">
        <v>74</v>
      </c>
      <c r="P66">
        <v>14.94</v>
      </c>
      <c r="Q66" s="6" t="s">
        <v>37</v>
      </c>
      <c r="R66" s="6" t="s">
        <v>66</v>
      </c>
      <c r="S66" s="6" t="s">
        <v>66</v>
      </c>
      <c r="T66" s="6">
        <v>15</v>
      </c>
      <c r="U66" t="s">
        <v>76</v>
      </c>
      <c r="V66" s="7">
        <v>1</v>
      </c>
      <c r="W66">
        <v>10</v>
      </c>
      <c r="X66" t="s">
        <v>198</v>
      </c>
      <c r="Y66" t="s">
        <v>25</v>
      </c>
      <c r="Z66" s="7">
        <f>1/0.279</f>
        <v>3.5842293906810032</v>
      </c>
      <c r="AA66">
        <v>2.46E-2</v>
      </c>
      <c r="AB66" s="7">
        <f>1/0.3</f>
        <v>3.3333333333333335</v>
      </c>
      <c r="AC66">
        <v>2.46E-2</v>
      </c>
    </row>
    <row r="67" spans="1:29" x14ac:dyDescent="0.3">
      <c r="A67">
        <v>7</v>
      </c>
      <c r="B67">
        <v>66</v>
      </c>
      <c r="C67" t="str">
        <f ca="1">LOOKUP(A67,RQ3_reference!A$2:A$199,RQ3_reference!B$2:B$196)</f>
        <v>Degola_2018_The</v>
      </c>
      <c r="D67" t="s">
        <v>146</v>
      </c>
      <c r="E67" t="s">
        <v>181</v>
      </c>
      <c r="L67" t="s">
        <v>14</v>
      </c>
      <c r="M67" t="s">
        <v>18</v>
      </c>
      <c r="N67" t="s">
        <v>23</v>
      </c>
      <c r="O67" t="s">
        <v>74</v>
      </c>
      <c r="P67">
        <v>14.94</v>
      </c>
      <c r="Q67" s="6" t="s">
        <v>37</v>
      </c>
      <c r="R67" s="6" t="s">
        <v>42</v>
      </c>
      <c r="S67" s="6" t="s">
        <v>67</v>
      </c>
      <c r="T67" s="6">
        <v>20</v>
      </c>
      <c r="U67" t="s">
        <v>76</v>
      </c>
      <c r="V67" s="7">
        <v>1</v>
      </c>
      <c r="W67">
        <v>10</v>
      </c>
      <c r="X67" t="s">
        <v>198</v>
      </c>
      <c r="Y67" t="s">
        <v>25</v>
      </c>
      <c r="Z67" s="7">
        <f>1/0.275</f>
        <v>3.6363636363636362</v>
      </c>
      <c r="AA67">
        <v>2.46E-2</v>
      </c>
      <c r="AB67" s="7">
        <f t="shared" ref="AB67:AB71" si="5">1/0.3</f>
        <v>3.3333333333333335</v>
      </c>
      <c r="AC67">
        <v>2.46E-2</v>
      </c>
    </row>
    <row r="68" spans="1:29" x14ac:dyDescent="0.3">
      <c r="A68">
        <v>7</v>
      </c>
      <c r="B68">
        <v>67</v>
      </c>
      <c r="C68" t="str">
        <f ca="1">LOOKUP(A68,RQ3_reference!A$2:A$199,RQ3_reference!B$2:B$196)</f>
        <v>Degola_2018_The</v>
      </c>
      <c r="D68" t="s">
        <v>146</v>
      </c>
      <c r="E68" t="s">
        <v>181</v>
      </c>
      <c r="L68" t="s">
        <v>14</v>
      </c>
      <c r="M68" t="s">
        <v>18</v>
      </c>
      <c r="N68" t="s">
        <v>23</v>
      </c>
      <c r="O68" t="s">
        <v>74</v>
      </c>
      <c r="P68">
        <v>14.94</v>
      </c>
      <c r="Q68" s="6" t="s">
        <v>37</v>
      </c>
      <c r="R68" s="6" t="s">
        <v>42</v>
      </c>
      <c r="S68" s="6" t="s">
        <v>73</v>
      </c>
      <c r="T68" s="6">
        <v>12</v>
      </c>
      <c r="U68" t="s">
        <v>76</v>
      </c>
      <c r="V68" s="7">
        <v>1</v>
      </c>
      <c r="W68">
        <v>10</v>
      </c>
      <c r="X68" t="s">
        <v>198</v>
      </c>
      <c r="Y68" t="s">
        <v>25</v>
      </c>
      <c r="Z68" s="7">
        <f>1/0.264</f>
        <v>3.7878787878787876</v>
      </c>
      <c r="AA68">
        <v>2.46E-2</v>
      </c>
      <c r="AB68" s="7">
        <f t="shared" si="5"/>
        <v>3.3333333333333335</v>
      </c>
      <c r="AC68">
        <v>2.46E-2</v>
      </c>
    </row>
    <row r="69" spans="1:29" x14ac:dyDescent="0.3">
      <c r="A69">
        <v>7</v>
      </c>
      <c r="B69">
        <v>68</v>
      </c>
      <c r="C69" t="str">
        <f ca="1">LOOKUP(A69,RQ3_reference!A$2:A$199,RQ3_reference!B$2:B$196)</f>
        <v>Degola_2018_The</v>
      </c>
      <c r="D69" t="s">
        <v>146</v>
      </c>
      <c r="E69" t="s">
        <v>181</v>
      </c>
      <c r="L69" t="s">
        <v>14</v>
      </c>
      <c r="M69" t="s">
        <v>18</v>
      </c>
      <c r="N69" t="s">
        <v>23</v>
      </c>
      <c r="O69" t="s">
        <v>74</v>
      </c>
      <c r="P69">
        <v>14.94</v>
      </c>
      <c r="Q69" s="6" t="s">
        <v>37</v>
      </c>
      <c r="R69" s="6" t="s">
        <v>66</v>
      </c>
      <c r="S69" s="6" t="s">
        <v>66</v>
      </c>
      <c r="T69" s="6">
        <v>28</v>
      </c>
      <c r="U69" t="s">
        <v>76</v>
      </c>
      <c r="V69" s="7">
        <v>1</v>
      </c>
      <c r="W69">
        <v>10</v>
      </c>
      <c r="X69" t="s">
        <v>198</v>
      </c>
      <c r="Y69" t="s">
        <v>25</v>
      </c>
      <c r="Z69" s="7">
        <f>1/0.303</f>
        <v>3.3003300330033003</v>
      </c>
      <c r="AA69">
        <v>2.46E-2</v>
      </c>
      <c r="AB69" s="7">
        <f t="shared" si="5"/>
        <v>3.3333333333333335</v>
      </c>
      <c r="AC69">
        <v>2.46E-2</v>
      </c>
    </row>
    <row r="70" spans="1:29" x14ac:dyDescent="0.3">
      <c r="A70">
        <v>7</v>
      </c>
      <c r="B70">
        <v>69</v>
      </c>
      <c r="C70" t="str">
        <f ca="1">LOOKUP(A70,RQ3_reference!A$2:A$199,RQ3_reference!B$2:B$196)</f>
        <v>Degola_2018_The</v>
      </c>
      <c r="D70" t="s">
        <v>146</v>
      </c>
      <c r="E70" t="s">
        <v>181</v>
      </c>
      <c r="L70" t="s">
        <v>14</v>
      </c>
      <c r="M70" t="s">
        <v>18</v>
      </c>
      <c r="N70" t="s">
        <v>23</v>
      </c>
      <c r="O70" t="s">
        <v>74</v>
      </c>
      <c r="P70">
        <v>14.94</v>
      </c>
      <c r="Q70" s="6" t="s">
        <v>37</v>
      </c>
      <c r="R70" s="6" t="s">
        <v>42</v>
      </c>
      <c r="S70" s="6" t="s">
        <v>67</v>
      </c>
      <c r="T70" s="6">
        <v>25</v>
      </c>
      <c r="U70" t="s">
        <v>76</v>
      </c>
      <c r="V70" s="7">
        <v>1</v>
      </c>
      <c r="W70">
        <v>10</v>
      </c>
      <c r="X70" t="s">
        <v>198</v>
      </c>
      <c r="Y70" t="s">
        <v>25</v>
      </c>
      <c r="Z70" s="7">
        <f>1/0.27</f>
        <v>3.7037037037037033</v>
      </c>
      <c r="AA70">
        <v>2.46E-2</v>
      </c>
      <c r="AB70" s="7">
        <f t="shared" si="5"/>
        <v>3.3333333333333335</v>
      </c>
      <c r="AC70">
        <v>2.46E-2</v>
      </c>
    </row>
    <row r="71" spans="1:29" x14ac:dyDescent="0.3">
      <c r="A71">
        <v>7</v>
      </c>
      <c r="B71">
        <v>70</v>
      </c>
      <c r="C71" t="str">
        <f ca="1">LOOKUP(A71,RQ3_reference!A$2:A$199,RQ3_reference!B$2:B$196)</f>
        <v>Degola_2018_The</v>
      </c>
      <c r="D71" t="s">
        <v>146</v>
      </c>
      <c r="E71" t="s">
        <v>181</v>
      </c>
      <c r="L71" t="s">
        <v>14</v>
      </c>
      <c r="M71" t="s">
        <v>18</v>
      </c>
      <c r="N71" t="s">
        <v>23</v>
      </c>
      <c r="O71" t="s">
        <v>74</v>
      </c>
      <c r="P71">
        <v>14.94</v>
      </c>
      <c r="Q71" s="6" t="s">
        <v>37</v>
      </c>
      <c r="R71" s="6" t="s">
        <v>42</v>
      </c>
      <c r="S71" s="6" t="s">
        <v>73</v>
      </c>
      <c r="T71" s="6">
        <v>15</v>
      </c>
      <c r="U71" t="s">
        <v>76</v>
      </c>
      <c r="V71" s="7">
        <v>1</v>
      </c>
      <c r="W71">
        <v>10</v>
      </c>
      <c r="X71" t="s">
        <v>198</v>
      </c>
      <c r="Y71" t="s">
        <v>25</v>
      </c>
      <c r="Z71" s="7">
        <f>1/0.223</f>
        <v>4.4843049327354256</v>
      </c>
      <c r="AA71">
        <v>2.46E-2</v>
      </c>
      <c r="AB71" s="7">
        <f t="shared" si="5"/>
        <v>3.3333333333333335</v>
      </c>
      <c r="AC71">
        <v>2.46E-2</v>
      </c>
    </row>
    <row r="72" spans="1:29" x14ac:dyDescent="0.3">
      <c r="A72">
        <v>7</v>
      </c>
      <c r="B72">
        <v>71</v>
      </c>
      <c r="C72" t="str">
        <f ca="1">LOOKUP(A72,RQ3_reference!A$2:A$199,RQ3_reference!B$2:B$196)</f>
        <v>Degola_2018_The</v>
      </c>
      <c r="D72" t="s">
        <v>146</v>
      </c>
      <c r="E72" t="s">
        <v>181</v>
      </c>
      <c r="L72" t="s">
        <v>14</v>
      </c>
      <c r="M72" t="s">
        <v>18</v>
      </c>
      <c r="N72" t="s">
        <v>23</v>
      </c>
      <c r="O72" t="s">
        <v>74</v>
      </c>
      <c r="P72">
        <v>14.94</v>
      </c>
      <c r="Q72" s="6" t="s">
        <v>37</v>
      </c>
      <c r="R72" s="6" t="s">
        <v>66</v>
      </c>
      <c r="S72" s="6" t="s">
        <v>66</v>
      </c>
      <c r="T72" s="6">
        <v>15</v>
      </c>
      <c r="U72" t="s">
        <v>77</v>
      </c>
      <c r="V72" s="7">
        <v>1</v>
      </c>
      <c r="W72">
        <v>10</v>
      </c>
      <c r="X72" t="s">
        <v>198</v>
      </c>
      <c r="Y72" t="s">
        <v>25</v>
      </c>
      <c r="Z72" s="7">
        <f>1/0.347</f>
        <v>2.8818443804034586</v>
      </c>
      <c r="AA72">
        <v>1.6799999999999999E-2</v>
      </c>
      <c r="AB72" s="7">
        <f>1/0.351</f>
        <v>2.8490028490028494</v>
      </c>
      <c r="AC72">
        <v>1.6799999999999999E-2</v>
      </c>
    </row>
    <row r="73" spans="1:29" x14ac:dyDescent="0.3">
      <c r="A73">
        <v>7</v>
      </c>
      <c r="B73">
        <v>72</v>
      </c>
      <c r="C73" t="str">
        <f ca="1">LOOKUP(A73,RQ3_reference!A$2:A$199,RQ3_reference!B$2:B$196)</f>
        <v>Degola_2018_The</v>
      </c>
      <c r="D73" t="s">
        <v>146</v>
      </c>
      <c r="E73" t="s">
        <v>181</v>
      </c>
      <c r="L73" t="s">
        <v>14</v>
      </c>
      <c r="M73" t="s">
        <v>18</v>
      </c>
      <c r="N73" t="s">
        <v>23</v>
      </c>
      <c r="O73" t="s">
        <v>74</v>
      </c>
      <c r="P73">
        <v>14.94</v>
      </c>
      <c r="Q73" s="6" t="s">
        <v>37</v>
      </c>
      <c r="R73" s="6" t="s">
        <v>42</v>
      </c>
      <c r="S73" s="6" t="s">
        <v>67</v>
      </c>
      <c r="T73" s="6">
        <v>20</v>
      </c>
      <c r="U73" t="s">
        <v>77</v>
      </c>
      <c r="V73" s="7">
        <v>1</v>
      </c>
      <c r="W73">
        <v>10</v>
      </c>
      <c r="X73" t="s">
        <v>198</v>
      </c>
      <c r="Y73" t="s">
        <v>25</v>
      </c>
      <c r="Z73" s="7">
        <f>1/0.33</f>
        <v>3.0303030303030303</v>
      </c>
      <c r="AA73">
        <v>1.6799999999999999E-2</v>
      </c>
      <c r="AB73" s="7">
        <f t="shared" ref="AB73:AB77" si="6">1/0.351</f>
        <v>2.8490028490028494</v>
      </c>
      <c r="AC73">
        <v>1.6799999999999999E-2</v>
      </c>
    </row>
    <row r="74" spans="1:29" x14ac:dyDescent="0.3">
      <c r="A74">
        <v>7</v>
      </c>
      <c r="B74">
        <v>73</v>
      </c>
      <c r="C74" t="str">
        <f ca="1">LOOKUP(A74,RQ3_reference!A$2:A$199,RQ3_reference!B$2:B$196)</f>
        <v>Degola_2018_The</v>
      </c>
      <c r="D74" t="s">
        <v>146</v>
      </c>
      <c r="E74" t="s">
        <v>181</v>
      </c>
      <c r="L74" t="s">
        <v>14</v>
      </c>
      <c r="M74" t="s">
        <v>18</v>
      </c>
      <c r="N74" t="s">
        <v>23</v>
      </c>
      <c r="O74" t="s">
        <v>74</v>
      </c>
      <c r="P74">
        <v>14.94</v>
      </c>
      <c r="Q74" s="6" t="s">
        <v>37</v>
      </c>
      <c r="R74" s="6" t="s">
        <v>42</v>
      </c>
      <c r="S74" s="6" t="s">
        <v>73</v>
      </c>
      <c r="T74" s="6">
        <v>12</v>
      </c>
      <c r="U74" t="s">
        <v>77</v>
      </c>
      <c r="V74" s="7">
        <v>1</v>
      </c>
      <c r="W74">
        <v>10</v>
      </c>
      <c r="X74" t="s">
        <v>198</v>
      </c>
      <c r="Y74" t="s">
        <v>25</v>
      </c>
      <c r="Z74" s="7">
        <f>1/0.318</f>
        <v>3.1446540880503142</v>
      </c>
      <c r="AA74">
        <v>1.6799999999999999E-2</v>
      </c>
      <c r="AB74" s="7">
        <f t="shared" si="6"/>
        <v>2.8490028490028494</v>
      </c>
      <c r="AC74">
        <v>1.6799999999999999E-2</v>
      </c>
    </row>
    <row r="75" spans="1:29" x14ac:dyDescent="0.3">
      <c r="A75">
        <v>7</v>
      </c>
      <c r="B75">
        <v>74</v>
      </c>
      <c r="C75" t="str">
        <f ca="1">LOOKUP(A75,RQ3_reference!A$2:A$199,RQ3_reference!B$2:B$196)</f>
        <v>Degola_2018_The</v>
      </c>
      <c r="D75" t="s">
        <v>146</v>
      </c>
      <c r="E75" t="s">
        <v>181</v>
      </c>
      <c r="L75" t="s">
        <v>14</v>
      </c>
      <c r="M75" t="s">
        <v>18</v>
      </c>
      <c r="N75" t="s">
        <v>23</v>
      </c>
      <c r="O75" t="s">
        <v>74</v>
      </c>
      <c r="P75">
        <v>14.94</v>
      </c>
      <c r="Q75" s="6" t="s">
        <v>37</v>
      </c>
      <c r="R75" s="6" t="s">
        <v>66</v>
      </c>
      <c r="S75" s="6" t="s">
        <v>66</v>
      </c>
      <c r="T75" s="6">
        <v>28</v>
      </c>
      <c r="U75" t="s">
        <v>77</v>
      </c>
      <c r="V75" s="7">
        <v>1</v>
      </c>
      <c r="W75">
        <v>10</v>
      </c>
      <c r="X75" t="s">
        <v>198</v>
      </c>
      <c r="Y75" t="s">
        <v>25</v>
      </c>
      <c r="Z75" s="7">
        <f>1/0.335</f>
        <v>2.9850746268656714</v>
      </c>
      <c r="AA75">
        <v>1.6799999999999999E-2</v>
      </c>
      <c r="AB75" s="7">
        <f t="shared" si="6"/>
        <v>2.8490028490028494</v>
      </c>
      <c r="AC75">
        <v>1.6799999999999999E-2</v>
      </c>
    </row>
    <row r="76" spans="1:29" x14ac:dyDescent="0.3">
      <c r="A76">
        <v>7</v>
      </c>
      <c r="B76">
        <v>75</v>
      </c>
      <c r="C76" t="str">
        <f ca="1">LOOKUP(A76,RQ3_reference!A$2:A$199,RQ3_reference!B$2:B$196)</f>
        <v>Degola_2018_The</v>
      </c>
      <c r="D76" t="s">
        <v>146</v>
      </c>
      <c r="E76" t="s">
        <v>181</v>
      </c>
      <c r="L76" t="s">
        <v>14</v>
      </c>
      <c r="M76" t="s">
        <v>18</v>
      </c>
      <c r="N76" t="s">
        <v>23</v>
      </c>
      <c r="O76" t="s">
        <v>74</v>
      </c>
      <c r="P76">
        <v>14.94</v>
      </c>
      <c r="Q76" s="6" t="s">
        <v>37</v>
      </c>
      <c r="R76" s="6" t="s">
        <v>42</v>
      </c>
      <c r="S76" s="6" t="s">
        <v>67</v>
      </c>
      <c r="T76" s="6">
        <v>25</v>
      </c>
      <c r="U76" t="s">
        <v>77</v>
      </c>
      <c r="V76" s="7">
        <v>1</v>
      </c>
      <c r="W76">
        <v>10</v>
      </c>
      <c r="X76" t="s">
        <v>198</v>
      </c>
      <c r="Y76" t="s">
        <v>25</v>
      </c>
      <c r="Z76" s="7">
        <f>1/0.321</f>
        <v>3.1152647975077881</v>
      </c>
      <c r="AA76">
        <v>1.6799999999999999E-2</v>
      </c>
      <c r="AB76" s="7">
        <f t="shared" si="6"/>
        <v>2.8490028490028494</v>
      </c>
      <c r="AC76">
        <v>1.6799999999999999E-2</v>
      </c>
    </row>
    <row r="77" spans="1:29" x14ac:dyDescent="0.3">
      <c r="A77">
        <v>7</v>
      </c>
      <c r="B77">
        <v>76</v>
      </c>
      <c r="C77" t="str">
        <f ca="1">LOOKUP(A77,RQ3_reference!A$2:A$199,RQ3_reference!B$2:B$196)</f>
        <v>Degola_2018_The</v>
      </c>
      <c r="D77" t="s">
        <v>146</v>
      </c>
      <c r="E77" t="s">
        <v>181</v>
      </c>
      <c r="L77" t="s">
        <v>14</v>
      </c>
      <c r="M77" t="s">
        <v>18</v>
      </c>
      <c r="N77" t="s">
        <v>23</v>
      </c>
      <c r="O77" t="s">
        <v>74</v>
      </c>
      <c r="P77">
        <v>14.94</v>
      </c>
      <c r="Q77" s="6" t="s">
        <v>37</v>
      </c>
      <c r="R77" s="6" t="s">
        <v>42</v>
      </c>
      <c r="S77" s="6" t="s">
        <v>73</v>
      </c>
      <c r="T77" s="6">
        <v>15</v>
      </c>
      <c r="U77" t="s">
        <v>77</v>
      </c>
      <c r="V77" s="7">
        <v>1</v>
      </c>
      <c r="W77">
        <v>10</v>
      </c>
      <c r="X77" t="s">
        <v>198</v>
      </c>
      <c r="Y77" t="s">
        <v>25</v>
      </c>
      <c r="Z77" s="7">
        <f>1/0.298</f>
        <v>3.3557046979865772</v>
      </c>
      <c r="AA77">
        <v>1.6799999999999999E-2</v>
      </c>
      <c r="AB77" s="7">
        <f t="shared" si="6"/>
        <v>2.8490028490028494</v>
      </c>
      <c r="AC77">
        <v>1.6799999999999999E-2</v>
      </c>
    </row>
    <row r="78" spans="1:29" x14ac:dyDescent="0.3">
      <c r="A78">
        <v>8</v>
      </c>
      <c r="B78">
        <v>77</v>
      </c>
      <c r="C78" t="str">
        <f ca="1">LOOKUP(A78,RQ3_reference!A$2:A$199,RQ3_reference!B$2:B$196)</f>
        <v>White_2015_Replacement</v>
      </c>
      <c r="D78" t="s">
        <v>147</v>
      </c>
      <c r="E78" t="s">
        <v>186</v>
      </c>
      <c r="H78">
        <v>6</v>
      </c>
      <c r="L78" t="s">
        <v>14</v>
      </c>
      <c r="M78" t="s">
        <v>18</v>
      </c>
      <c r="N78" t="s">
        <v>23</v>
      </c>
      <c r="O78" t="s">
        <v>83</v>
      </c>
      <c r="P78">
        <f>2.96*6.25</f>
        <v>18.5</v>
      </c>
      <c r="Q78" s="6" t="s">
        <v>37</v>
      </c>
      <c r="R78" s="6" t="s">
        <v>42</v>
      </c>
      <c r="S78" t="s">
        <v>80</v>
      </c>
      <c r="T78" s="6">
        <v>30</v>
      </c>
      <c r="U78" t="s">
        <v>76</v>
      </c>
      <c r="V78" s="7">
        <v>1</v>
      </c>
      <c r="W78">
        <v>4</v>
      </c>
      <c r="X78" t="s">
        <v>198</v>
      </c>
      <c r="Y78" t="s">
        <v>25</v>
      </c>
      <c r="Z78">
        <v>1.91</v>
      </c>
      <c r="AA78">
        <v>7.3999999999999996E-2</v>
      </c>
      <c r="AB78">
        <v>1.92</v>
      </c>
      <c r="AC78">
        <v>7.3999999999999996E-2</v>
      </c>
    </row>
    <row r="79" spans="1:29" x14ac:dyDescent="0.3">
      <c r="A79">
        <v>8</v>
      </c>
      <c r="B79">
        <v>78</v>
      </c>
      <c r="C79" t="str">
        <f ca="1">LOOKUP(A79,RQ3_reference!A$2:A$199,RQ3_reference!B$2:B$196)</f>
        <v>White_2015_Replacement</v>
      </c>
      <c r="D79" t="s">
        <v>147</v>
      </c>
      <c r="E79" t="s">
        <v>186</v>
      </c>
      <c r="H79">
        <v>6</v>
      </c>
      <c r="L79" t="s">
        <v>14</v>
      </c>
      <c r="M79" t="s">
        <v>18</v>
      </c>
      <c r="N79" t="s">
        <v>23</v>
      </c>
      <c r="O79" t="s">
        <v>83</v>
      </c>
      <c r="P79">
        <f t="shared" ref="P79:P81" si="7">2.96*6.25</f>
        <v>18.5</v>
      </c>
      <c r="Q79" s="6" t="s">
        <v>37</v>
      </c>
      <c r="R79" s="6" t="s">
        <v>42</v>
      </c>
      <c r="S79" t="s">
        <v>79</v>
      </c>
      <c r="T79" s="6">
        <v>30</v>
      </c>
      <c r="U79" t="s">
        <v>76</v>
      </c>
      <c r="V79" s="7">
        <v>1</v>
      </c>
      <c r="W79">
        <v>4</v>
      </c>
      <c r="X79" t="s">
        <v>198</v>
      </c>
      <c r="Y79" t="s">
        <v>25</v>
      </c>
      <c r="Z79">
        <v>1.86</v>
      </c>
      <c r="AA79">
        <v>7.3999999999999996E-2</v>
      </c>
      <c r="AB79">
        <v>1.92</v>
      </c>
      <c r="AC79">
        <v>7.3999999999999996E-2</v>
      </c>
    </row>
    <row r="80" spans="1:29" x14ac:dyDescent="0.3">
      <c r="A80">
        <v>8</v>
      </c>
      <c r="B80">
        <v>79</v>
      </c>
      <c r="C80" t="str">
        <f ca="1">LOOKUP(A80,RQ3_reference!A$2:A$199,RQ3_reference!B$2:B$196)</f>
        <v>White_2015_Replacement</v>
      </c>
      <c r="D80" t="s">
        <v>147</v>
      </c>
      <c r="E80" t="s">
        <v>186</v>
      </c>
      <c r="H80">
        <v>6</v>
      </c>
      <c r="L80" t="s">
        <v>14</v>
      </c>
      <c r="M80" t="s">
        <v>18</v>
      </c>
      <c r="N80" t="s">
        <v>23</v>
      </c>
      <c r="O80" t="s">
        <v>83</v>
      </c>
      <c r="P80">
        <f t="shared" si="7"/>
        <v>18.5</v>
      </c>
      <c r="Q80" s="6" t="s">
        <v>37</v>
      </c>
      <c r="R80" s="6" t="s">
        <v>42</v>
      </c>
      <c r="S80" t="s">
        <v>81</v>
      </c>
      <c r="T80" s="6">
        <v>30</v>
      </c>
      <c r="U80" t="s">
        <v>76</v>
      </c>
      <c r="V80" s="7">
        <v>1</v>
      </c>
      <c r="W80">
        <v>4</v>
      </c>
      <c r="X80" t="s">
        <v>198</v>
      </c>
      <c r="Y80" t="s">
        <v>25</v>
      </c>
      <c r="Z80">
        <v>1.85</v>
      </c>
      <c r="AA80">
        <v>7.3999999999999996E-2</v>
      </c>
      <c r="AB80">
        <v>1.92</v>
      </c>
      <c r="AC80">
        <v>7.3999999999999996E-2</v>
      </c>
    </row>
    <row r="81" spans="1:29" x14ac:dyDescent="0.3">
      <c r="A81">
        <v>8</v>
      </c>
      <c r="B81">
        <v>80</v>
      </c>
      <c r="C81" t="str">
        <f ca="1">LOOKUP(A81,RQ3_reference!A$2:A$199,RQ3_reference!B$2:B$196)</f>
        <v>White_2015_Replacement</v>
      </c>
      <c r="D81" t="s">
        <v>147</v>
      </c>
      <c r="E81" t="s">
        <v>186</v>
      </c>
      <c r="H81">
        <v>6</v>
      </c>
      <c r="L81" t="s">
        <v>14</v>
      </c>
      <c r="M81" t="s">
        <v>18</v>
      </c>
      <c r="N81" t="s">
        <v>23</v>
      </c>
      <c r="O81" t="s">
        <v>83</v>
      </c>
      <c r="P81">
        <f t="shared" si="7"/>
        <v>18.5</v>
      </c>
      <c r="Q81" s="6" t="s">
        <v>37</v>
      </c>
      <c r="R81" s="6" t="s">
        <v>42</v>
      </c>
      <c r="S81" t="s">
        <v>82</v>
      </c>
      <c r="T81" s="6">
        <v>30</v>
      </c>
      <c r="U81" t="s">
        <v>76</v>
      </c>
      <c r="V81" s="7">
        <v>1</v>
      </c>
      <c r="W81">
        <v>4</v>
      </c>
      <c r="X81" t="s">
        <v>198</v>
      </c>
      <c r="Y81" t="s">
        <v>25</v>
      </c>
      <c r="Z81">
        <v>1.87</v>
      </c>
      <c r="AA81">
        <v>7.3999999999999996E-2</v>
      </c>
      <c r="AB81">
        <v>1.92</v>
      </c>
      <c r="AC81">
        <v>7.3999999999999996E-2</v>
      </c>
    </row>
    <row r="82" spans="1:29" x14ac:dyDescent="0.3">
      <c r="A82">
        <v>8</v>
      </c>
      <c r="B82">
        <v>81</v>
      </c>
      <c r="C82" t="str">
        <f ca="1">LOOKUP(A82,RQ3_reference!A$2:A$199,RQ3_reference!B$2:B$196)</f>
        <v>White_2015_Replacement</v>
      </c>
      <c r="D82" t="s">
        <v>147</v>
      </c>
      <c r="E82" t="s">
        <v>186</v>
      </c>
      <c r="H82">
        <v>6</v>
      </c>
      <c r="L82" t="s">
        <v>14</v>
      </c>
      <c r="M82" t="s">
        <v>18</v>
      </c>
      <c r="N82" t="s">
        <v>23</v>
      </c>
      <c r="O82" t="s">
        <v>84</v>
      </c>
      <c r="P82">
        <f>2.69*6.25</f>
        <v>16.8125</v>
      </c>
      <c r="Q82" s="6" t="s">
        <v>37</v>
      </c>
      <c r="R82" s="6" t="s">
        <v>42</v>
      </c>
      <c r="S82" t="s">
        <v>80</v>
      </c>
      <c r="T82" s="6">
        <v>30</v>
      </c>
      <c r="U82" t="s">
        <v>77</v>
      </c>
      <c r="V82" s="7">
        <v>1</v>
      </c>
      <c r="W82">
        <v>4</v>
      </c>
      <c r="X82" t="s">
        <v>198</v>
      </c>
      <c r="Y82" t="s">
        <v>25</v>
      </c>
      <c r="Z82">
        <v>2.97</v>
      </c>
      <c r="AA82">
        <v>0.14000000000000001</v>
      </c>
      <c r="AB82">
        <v>3.05</v>
      </c>
      <c r="AC82">
        <v>0.14000000000000001</v>
      </c>
    </row>
    <row r="83" spans="1:29" x14ac:dyDescent="0.3">
      <c r="A83">
        <v>8</v>
      </c>
      <c r="B83">
        <v>82</v>
      </c>
      <c r="C83" t="str">
        <f ca="1">LOOKUP(A83,RQ3_reference!A$2:A$199,RQ3_reference!B$2:B$196)</f>
        <v>White_2015_Replacement</v>
      </c>
      <c r="D83" t="s">
        <v>147</v>
      </c>
      <c r="E83" t="s">
        <v>186</v>
      </c>
      <c r="H83">
        <v>6</v>
      </c>
      <c r="L83" t="s">
        <v>14</v>
      </c>
      <c r="M83" t="s">
        <v>18</v>
      </c>
      <c r="N83" t="s">
        <v>23</v>
      </c>
      <c r="O83" t="s">
        <v>84</v>
      </c>
      <c r="P83">
        <f t="shared" ref="P83:P85" si="8">2.69*6.25</f>
        <v>16.8125</v>
      </c>
      <c r="Q83" s="6" t="s">
        <v>37</v>
      </c>
      <c r="R83" s="6" t="s">
        <v>42</v>
      </c>
      <c r="S83" t="s">
        <v>79</v>
      </c>
      <c r="T83" s="6">
        <v>30</v>
      </c>
      <c r="U83" t="s">
        <v>77</v>
      </c>
      <c r="V83" s="7">
        <v>1</v>
      </c>
      <c r="W83">
        <v>4</v>
      </c>
      <c r="X83" t="s">
        <v>198</v>
      </c>
      <c r="Y83" t="s">
        <v>25</v>
      </c>
      <c r="Z83">
        <v>2.95</v>
      </c>
      <c r="AA83">
        <v>0.14000000000000001</v>
      </c>
      <c r="AB83">
        <v>3.05</v>
      </c>
      <c r="AC83">
        <v>0.14000000000000001</v>
      </c>
    </row>
    <row r="84" spans="1:29" x14ac:dyDescent="0.3">
      <c r="A84">
        <v>8</v>
      </c>
      <c r="B84">
        <v>83</v>
      </c>
      <c r="C84" t="str">
        <f ca="1">LOOKUP(A84,RQ3_reference!A$2:A$199,RQ3_reference!B$2:B$196)</f>
        <v>White_2015_Replacement</v>
      </c>
      <c r="D84" t="s">
        <v>147</v>
      </c>
      <c r="E84" t="s">
        <v>186</v>
      </c>
      <c r="H84">
        <v>6</v>
      </c>
      <c r="L84" t="s">
        <v>14</v>
      </c>
      <c r="M84" t="s">
        <v>18</v>
      </c>
      <c r="N84" t="s">
        <v>23</v>
      </c>
      <c r="O84" t="s">
        <v>84</v>
      </c>
      <c r="P84">
        <f t="shared" si="8"/>
        <v>16.8125</v>
      </c>
      <c r="Q84" s="6" t="s">
        <v>37</v>
      </c>
      <c r="R84" s="6" t="s">
        <v>42</v>
      </c>
      <c r="S84" t="s">
        <v>81</v>
      </c>
      <c r="T84" s="6">
        <v>30</v>
      </c>
      <c r="U84" t="s">
        <v>77</v>
      </c>
      <c r="V84" s="7">
        <v>1</v>
      </c>
      <c r="W84">
        <v>4</v>
      </c>
      <c r="X84" t="s">
        <v>198</v>
      </c>
      <c r="Y84" t="s">
        <v>25</v>
      </c>
      <c r="Z84">
        <v>2.9</v>
      </c>
      <c r="AA84">
        <v>0.14000000000000001</v>
      </c>
      <c r="AB84">
        <v>3.05</v>
      </c>
      <c r="AC84">
        <v>0.14000000000000001</v>
      </c>
    </row>
    <row r="85" spans="1:29" x14ac:dyDescent="0.3">
      <c r="A85">
        <v>8</v>
      </c>
      <c r="B85">
        <v>84</v>
      </c>
      <c r="C85" t="str">
        <f ca="1">LOOKUP(A85,RQ3_reference!A$2:A$199,RQ3_reference!B$2:B$196)</f>
        <v>White_2015_Replacement</v>
      </c>
      <c r="D85" t="s">
        <v>147</v>
      </c>
      <c r="E85" t="s">
        <v>186</v>
      </c>
      <c r="H85">
        <v>6</v>
      </c>
      <c r="L85" t="s">
        <v>14</v>
      </c>
      <c r="M85" t="s">
        <v>18</v>
      </c>
      <c r="N85" t="s">
        <v>23</v>
      </c>
      <c r="O85" t="s">
        <v>84</v>
      </c>
      <c r="P85">
        <f t="shared" si="8"/>
        <v>16.8125</v>
      </c>
      <c r="Q85" s="6" t="s">
        <v>37</v>
      </c>
      <c r="R85" s="6" t="s">
        <v>42</v>
      </c>
      <c r="S85" t="s">
        <v>82</v>
      </c>
      <c r="T85" s="6">
        <v>30</v>
      </c>
      <c r="U85" t="s">
        <v>77</v>
      </c>
      <c r="V85" s="7">
        <v>1</v>
      </c>
      <c r="W85">
        <v>4</v>
      </c>
      <c r="X85" t="s">
        <v>198</v>
      </c>
      <c r="Y85" t="s">
        <v>25</v>
      </c>
      <c r="Z85">
        <v>3.04</v>
      </c>
      <c r="AA85">
        <v>0.14000000000000001</v>
      </c>
      <c r="AB85">
        <v>3.05</v>
      </c>
      <c r="AC85">
        <v>0.14000000000000001</v>
      </c>
    </row>
    <row r="86" spans="1:29" x14ac:dyDescent="0.3">
      <c r="A86">
        <v>8</v>
      </c>
      <c r="B86">
        <v>85</v>
      </c>
      <c r="C86" t="str">
        <f ca="1">LOOKUP(A86,RQ3_reference!A$2:A$199,RQ3_reference!B$2:B$196)</f>
        <v>White_2015_Replacement</v>
      </c>
      <c r="D86" t="s">
        <v>147</v>
      </c>
      <c r="E86" t="s">
        <v>186</v>
      </c>
      <c r="H86">
        <v>6</v>
      </c>
      <c r="L86" t="s">
        <v>14</v>
      </c>
      <c r="M86" t="s">
        <v>18</v>
      </c>
      <c r="N86" t="s">
        <v>23</v>
      </c>
      <c r="O86" t="s">
        <v>83</v>
      </c>
      <c r="P86">
        <f>2.96*6.25</f>
        <v>18.5</v>
      </c>
      <c r="Q86" s="6" t="s">
        <v>37</v>
      </c>
      <c r="R86" s="6" t="s">
        <v>42</v>
      </c>
      <c r="S86" t="s">
        <v>80</v>
      </c>
      <c r="T86" s="6">
        <v>30</v>
      </c>
      <c r="U86" t="s">
        <v>76</v>
      </c>
      <c r="V86" s="7">
        <v>1</v>
      </c>
      <c r="W86">
        <v>4</v>
      </c>
      <c r="X86" t="s">
        <v>85</v>
      </c>
      <c r="Y86" t="s">
        <v>13</v>
      </c>
      <c r="Z86">
        <v>81</v>
      </c>
      <c r="AA86">
        <v>2.5</v>
      </c>
      <c r="AB86">
        <v>83</v>
      </c>
      <c r="AC86">
        <v>2.5</v>
      </c>
    </row>
    <row r="87" spans="1:29" x14ac:dyDescent="0.3">
      <c r="A87">
        <v>8</v>
      </c>
      <c r="B87">
        <v>86</v>
      </c>
      <c r="C87" t="str">
        <f ca="1">LOOKUP(A87,RQ3_reference!A$2:A$199,RQ3_reference!B$2:B$196)</f>
        <v>White_2015_Replacement</v>
      </c>
      <c r="D87" t="s">
        <v>147</v>
      </c>
      <c r="E87" t="s">
        <v>186</v>
      </c>
      <c r="H87">
        <v>6</v>
      </c>
      <c r="L87" t="s">
        <v>14</v>
      </c>
      <c r="M87" t="s">
        <v>18</v>
      </c>
      <c r="N87" t="s">
        <v>23</v>
      </c>
      <c r="O87" t="s">
        <v>83</v>
      </c>
      <c r="P87">
        <f t="shared" ref="P87:P88" si="9">2.96*6.25</f>
        <v>18.5</v>
      </c>
      <c r="Q87" s="6" t="s">
        <v>37</v>
      </c>
      <c r="R87" s="6" t="s">
        <v>42</v>
      </c>
      <c r="S87" t="s">
        <v>79</v>
      </c>
      <c r="T87" s="6">
        <v>30</v>
      </c>
      <c r="U87" t="s">
        <v>76</v>
      </c>
      <c r="V87" s="7">
        <v>1</v>
      </c>
      <c r="W87">
        <v>4</v>
      </c>
      <c r="X87" t="s">
        <v>85</v>
      </c>
      <c r="Y87" t="s">
        <v>13</v>
      </c>
      <c r="Z87">
        <v>79</v>
      </c>
      <c r="AA87">
        <v>2.5</v>
      </c>
      <c r="AB87">
        <v>83</v>
      </c>
      <c r="AC87">
        <v>2.5</v>
      </c>
    </row>
    <row r="88" spans="1:29" x14ac:dyDescent="0.3">
      <c r="A88">
        <v>8</v>
      </c>
      <c r="B88">
        <v>87</v>
      </c>
      <c r="C88" t="str">
        <f ca="1">LOOKUP(A88,RQ3_reference!A$2:A$199,RQ3_reference!B$2:B$196)</f>
        <v>White_2015_Replacement</v>
      </c>
      <c r="D88" t="s">
        <v>147</v>
      </c>
      <c r="E88" t="s">
        <v>186</v>
      </c>
      <c r="H88">
        <v>6</v>
      </c>
      <c r="L88" t="s">
        <v>14</v>
      </c>
      <c r="M88" t="s">
        <v>18</v>
      </c>
      <c r="N88" t="s">
        <v>23</v>
      </c>
      <c r="O88" t="s">
        <v>83</v>
      </c>
      <c r="P88">
        <f t="shared" si="9"/>
        <v>18.5</v>
      </c>
      <c r="Q88" s="6" t="s">
        <v>37</v>
      </c>
      <c r="R88" s="6" t="s">
        <v>42</v>
      </c>
      <c r="S88" t="s">
        <v>81</v>
      </c>
      <c r="T88" s="6">
        <v>30</v>
      </c>
      <c r="U88" t="s">
        <v>76</v>
      </c>
      <c r="V88" s="7">
        <v>1</v>
      </c>
      <c r="W88">
        <v>4</v>
      </c>
      <c r="X88" t="s">
        <v>85</v>
      </c>
      <c r="Y88" t="s">
        <v>13</v>
      </c>
      <c r="Z88">
        <v>79</v>
      </c>
      <c r="AA88">
        <v>2.5</v>
      </c>
      <c r="AB88">
        <v>83</v>
      </c>
      <c r="AC88">
        <v>2.5</v>
      </c>
    </row>
    <row r="89" spans="1:29" x14ac:dyDescent="0.3">
      <c r="A89">
        <v>8</v>
      </c>
      <c r="B89">
        <v>88</v>
      </c>
      <c r="C89" t="str">
        <f ca="1">LOOKUP(A89,RQ3_reference!A$2:A$199,RQ3_reference!B$2:B$196)</f>
        <v>White_2015_Replacement</v>
      </c>
      <c r="D89" t="s">
        <v>147</v>
      </c>
      <c r="E89" t="s">
        <v>186</v>
      </c>
      <c r="H89">
        <v>6</v>
      </c>
      <c r="L89" t="s">
        <v>14</v>
      </c>
      <c r="M89" t="s">
        <v>18</v>
      </c>
      <c r="N89" t="s">
        <v>23</v>
      </c>
      <c r="O89" t="s">
        <v>84</v>
      </c>
      <c r="P89">
        <f>2.69*6.25</f>
        <v>16.8125</v>
      </c>
      <c r="Q89" s="6" t="s">
        <v>37</v>
      </c>
      <c r="R89" s="6" t="s">
        <v>42</v>
      </c>
      <c r="S89" t="s">
        <v>80</v>
      </c>
      <c r="T89" s="6">
        <v>30</v>
      </c>
      <c r="U89" t="s">
        <v>77</v>
      </c>
      <c r="V89" s="7">
        <v>1</v>
      </c>
      <c r="W89">
        <v>4</v>
      </c>
      <c r="X89" t="s">
        <v>85</v>
      </c>
      <c r="Y89" t="s">
        <v>13</v>
      </c>
      <c r="Z89">
        <v>77</v>
      </c>
      <c r="AA89">
        <v>2.1</v>
      </c>
      <c r="AB89">
        <v>80</v>
      </c>
      <c r="AC89">
        <v>2.1</v>
      </c>
    </row>
    <row r="90" spans="1:29" x14ac:dyDescent="0.3">
      <c r="A90">
        <v>8</v>
      </c>
      <c r="B90">
        <v>89</v>
      </c>
      <c r="C90" t="str">
        <f ca="1">LOOKUP(A90,RQ3_reference!A$2:A$199,RQ3_reference!B$2:B$196)</f>
        <v>White_2015_Replacement</v>
      </c>
      <c r="D90" t="s">
        <v>147</v>
      </c>
      <c r="E90" t="s">
        <v>186</v>
      </c>
      <c r="H90">
        <v>6</v>
      </c>
      <c r="L90" t="s">
        <v>14</v>
      </c>
      <c r="M90" t="s">
        <v>18</v>
      </c>
      <c r="N90" t="s">
        <v>23</v>
      </c>
      <c r="O90" t="s">
        <v>84</v>
      </c>
      <c r="P90">
        <f t="shared" ref="P90:P91" si="10">2.69*6.25</f>
        <v>16.8125</v>
      </c>
      <c r="Q90" s="6" t="s">
        <v>37</v>
      </c>
      <c r="R90" s="6" t="s">
        <v>42</v>
      </c>
      <c r="S90" t="s">
        <v>79</v>
      </c>
      <c r="T90" s="6">
        <v>30</v>
      </c>
      <c r="U90" t="s">
        <v>77</v>
      </c>
      <c r="V90" s="7">
        <v>1</v>
      </c>
      <c r="W90">
        <v>4</v>
      </c>
      <c r="X90" t="s">
        <v>85</v>
      </c>
      <c r="Y90" t="s">
        <v>13</v>
      </c>
      <c r="Z90">
        <v>76</v>
      </c>
      <c r="AA90">
        <v>2.1</v>
      </c>
      <c r="AB90">
        <v>80</v>
      </c>
      <c r="AC90">
        <v>2.1</v>
      </c>
    </row>
    <row r="91" spans="1:29" x14ac:dyDescent="0.3">
      <c r="A91">
        <v>8</v>
      </c>
      <c r="B91">
        <v>90</v>
      </c>
      <c r="C91" t="str">
        <f ca="1">LOOKUP(A91,RQ3_reference!A$2:A$199,RQ3_reference!B$2:B$196)</f>
        <v>White_2015_Replacement</v>
      </c>
      <c r="D91" t="s">
        <v>147</v>
      </c>
      <c r="E91" t="s">
        <v>186</v>
      </c>
      <c r="H91">
        <v>6</v>
      </c>
      <c r="L91" t="s">
        <v>14</v>
      </c>
      <c r="M91" t="s">
        <v>18</v>
      </c>
      <c r="N91" t="s">
        <v>23</v>
      </c>
      <c r="O91" t="s">
        <v>84</v>
      </c>
      <c r="P91">
        <f t="shared" si="10"/>
        <v>16.8125</v>
      </c>
      <c r="Q91" s="6" t="s">
        <v>37</v>
      </c>
      <c r="R91" s="6" t="s">
        <v>42</v>
      </c>
      <c r="S91" t="s">
        <v>81</v>
      </c>
      <c r="T91" s="6">
        <v>30</v>
      </c>
      <c r="U91" t="s">
        <v>77</v>
      </c>
      <c r="V91" s="7">
        <v>1</v>
      </c>
      <c r="W91">
        <v>4</v>
      </c>
      <c r="X91" t="s">
        <v>85</v>
      </c>
      <c r="Y91" t="s">
        <v>13</v>
      </c>
      <c r="Z91">
        <v>79</v>
      </c>
      <c r="AA91">
        <v>2.1</v>
      </c>
      <c r="AB91">
        <v>80</v>
      </c>
      <c r="AC91">
        <v>2.1</v>
      </c>
    </row>
    <row r="92" spans="1:29" x14ac:dyDescent="0.3">
      <c r="A92">
        <v>8</v>
      </c>
      <c r="B92">
        <v>91</v>
      </c>
      <c r="C92" t="str">
        <f ca="1">LOOKUP(A92,RQ3_reference!A$2:A$199,RQ3_reference!B$2:B$196)</f>
        <v>White_2015_Replacement</v>
      </c>
      <c r="D92" t="s">
        <v>147</v>
      </c>
      <c r="E92" t="s">
        <v>186</v>
      </c>
      <c r="H92">
        <v>6</v>
      </c>
      <c r="L92" t="s">
        <v>14</v>
      </c>
      <c r="M92" t="s">
        <v>18</v>
      </c>
      <c r="N92" t="s">
        <v>23</v>
      </c>
      <c r="O92" t="s">
        <v>83</v>
      </c>
      <c r="P92">
        <f>2.96*6.25</f>
        <v>18.5</v>
      </c>
      <c r="Q92" s="6" t="s">
        <v>37</v>
      </c>
      <c r="R92" s="6" t="s">
        <v>42</v>
      </c>
      <c r="S92" t="s">
        <v>80</v>
      </c>
      <c r="T92" s="6">
        <v>30</v>
      </c>
      <c r="U92" t="s">
        <v>76</v>
      </c>
      <c r="V92" s="7">
        <v>1</v>
      </c>
      <c r="W92">
        <v>4</v>
      </c>
      <c r="X92" t="s">
        <v>102</v>
      </c>
      <c r="Y92" t="s">
        <v>13</v>
      </c>
      <c r="Z92">
        <v>54</v>
      </c>
      <c r="AA92">
        <v>5.4</v>
      </c>
      <c r="AB92">
        <v>53</v>
      </c>
      <c r="AC92">
        <v>5.4</v>
      </c>
    </row>
    <row r="93" spans="1:29" x14ac:dyDescent="0.3">
      <c r="A93">
        <v>8</v>
      </c>
      <c r="B93">
        <v>92</v>
      </c>
      <c r="C93" t="str">
        <f ca="1">LOOKUP(A93,RQ3_reference!A$2:A$199,RQ3_reference!B$2:B$196)</f>
        <v>White_2015_Replacement</v>
      </c>
      <c r="D93" t="s">
        <v>147</v>
      </c>
      <c r="E93" t="s">
        <v>186</v>
      </c>
      <c r="H93">
        <v>6</v>
      </c>
      <c r="L93" t="s">
        <v>14</v>
      </c>
      <c r="M93" t="s">
        <v>18</v>
      </c>
      <c r="N93" t="s">
        <v>23</v>
      </c>
      <c r="O93" t="s">
        <v>83</v>
      </c>
      <c r="P93">
        <f t="shared" ref="P93:P94" si="11">2.96*6.25</f>
        <v>18.5</v>
      </c>
      <c r="Q93" s="6" t="s">
        <v>37</v>
      </c>
      <c r="R93" s="6" t="s">
        <v>42</v>
      </c>
      <c r="S93" t="s">
        <v>79</v>
      </c>
      <c r="T93" s="6">
        <v>30</v>
      </c>
      <c r="U93" t="s">
        <v>76</v>
      </c>
      <c r="V93" s="7">
        <v>1</v>
      </c>
      <c r="W93">
        <v>4</v>
      </c>
      <c r="X93" t="s">
        <v>102</v>
      </c>
      <c r="Y93" t="s">
        <v>13</v>
      </c>
      <c r="Z93">
        <v>54</v>
      </c>
      <c r="AA93">
        <v>5.4</v>
      </c>
      <c r="AB93">
        <v>53</v>
      </c>
      <c r="AC93">
        <v>5.4</v>
      </c>
    </row>
    <row r="94" spans="1:29" x14ac:dyDescent="0.3">
      <c r="A94">
        <v>8</v>
      </c>
      <c r="B94">
        <v>93</v>
      </c>
      <c r="C94" t="str">
        <f ca="1">LOOKUP(A94,RQ3_reference!A$2:A$199,RQ3_reference!B$2:B$196)</f>
        <v>White_2015_Replacement</v>
      </c>
      <c r="D94" t="s">
        <v>147</v>
      </c>
      <c r="E94" t="s">
        <v>186</v>
      </c>
      <c r="H94">
        <v>6</v>
      </c>
      <c r="L94" t="s">
        <v>14</v>
      </c>
      <c r="M94" t="s">
        <v>18</v>
      </c>
      <c r="N94" t="s">
        <v>23</v>
      </c>
      <c r="O94" t="s">
        <v>83</v>
      </c>
      <c r="P94">
        <f t="shared" si="11"/>
        <v>18.5</v>
      </c>
      <c r="Q94" s="6" t="s">
        <v>37</v>
      </c>
      <c r="R94" s="6" t="s">
        <v>42</v>
      </c>
      <c r="S94" t="s">
        <v>81</v>
      </c>
      <c r="T94" s="6">
        <v>30</v>
      </c>
      <c r="U94" t="s">
        <v>76</v>
      </c>
      <c r="V94" s="7">
        <v>1</v>
      </c>
      <c r="W94">
        <v>4</v>
      </c>
      <c r="X94" t="s">
        <v>102</v>
      </c>
      <c r="Y94" t="s">
        <v>13</v>
      </c>
      <c r="Z94">
        <v>50</v>
      </c>
      <c r="AA94">
        <v>5.4</v>
      </c>
      <c r="AB94">
        <v>53</v>
      </c>
      <c r="AC94">
        <v>5.4</v>
      </c>
    </row>
    <row r="95" spans="1:29" x14ac:dyDescent="0.3">
      <c r="A95">
        <v>8</v>
      </c>
      <c r="B95">
        <v>94</v>
      </c>
      <c r="C95" t="str">
        <f ca="1">LOOKUP(A95,RQ3_reference!A$2:A$199,RQ3_reference!B$2:B$196)</f>
        <v>White_2015_Replacement</v>
      </c>
      <c r="D95" t="s">
        <v>147</v>
      </c>
      <c r="E95" t="s">
        <v>186</v>
      </c>
      <c r="H95">
        <v>6</v>
      </c>
      <c r="L95" t="s">
        <v>14</v>
      </c>
      <c r="M95" t="s">
        <v>18</v>
      </c>
      <c r="N95" t="s">
        <v>23</v>
      </c>
      <c r="O95" t="s">
        <v>84</v>
      </c>
      <c r="P95">
        <f>2.69*6.25</f>
        <v>16.8125</v>
      </c>
      <c r="Q95" s="6" t="s">
        <v>37</v>
      </c>
      <c r="R95" s="6" t="s">
        <v>42</v>
      </c>
      <c r="S95" t="s">
        <v>80</v>
      </c>
      <c r="T95" s="6">
        <v>30</v>
      </c>
      <c r="U95" t="s">
        <v>77</v>
      </c>
      <c r="V95" s="7">
        <v>1</v>
      </c>
      <c r="W95">
        <v>4</v>
      </c>
      <c r="X95" t="s">
        <v>102</v>
      </c>
      <c r="Y95" t="s">
        <v>13</v>
      </c>
      <c r="Z95">
        <v>50</v>
      </c>
      <c r="AA95">
        <v>3.9</v>
      </c>
      <c r="AB95">
        <v>51</v>
      </c>
      <c r="AC95">
        <v>3.9</v>
      </c>
    </row>
    <row r="96" spans="1:29" x14ac:dyDescent="0.3">
      <c r="A96">
        <v>8</v>
      </c>
      <c r="B96">
        <v>95</v>
      </c>
      <c r="C96" t="str">
        <f ca="1">LOOKUP(A96,RQ3_reference!A$2:A$199,RQ3_reference!B$2:B$196)</f>
        <v>White_2015_Replacement</v>
      </c>
      <c r="D96" t="s">
        <v>147</v>
      </c>
      <c r="E96" t="s">
        <v>186</v>
      </c>
      <c r="H96">
        <v>6</v>
      </c>
      <c r="L96" t="s">
        <v>14</v>
      </c>
      <c r="M96" t="s">
        <v>18</v>
      </c>
      <c r="N96" t="s">
        <v>23</v>
      </c>
      <c r="O96" t="s">
        <v>84</v>
      </c>
      <c r="P96">
        <f t="shared" ref="P96:P97" si="12">2.69*6.25</f>
        <v>16.8125</v>
      </c>
      <c r="Q96" s="6" t="s">
        <v>37</v>
      </c>
      <c r="R96" s="6" t="s">
        <v>42</v>
      </c>
      <c r="S96" t="s">
        <v>79</v>
      </c>
      <c r="T96" s="6">
        <v>30</v>
      </c>
      <c r="U96" t="s">
        <v>77</v>
      </c>
      <c r="V96" s="7">
        <v>1</v>
      </c>
      <c r="W96">
        <v>4</v>
      </c>
      <c r="X96" t="s">
        <v>102</v>
      </c>
      <c r="Y96" t="s">
        <v>13</v>
      </c>
      <c r="Z96">
        <v>47</v>
      </c>
      <c r="AA96">
        <v>3.9</v>
      </c>
      <c r="AB96">
        <v>51</v>
      </c>
      <c r="AC96">
        <v>3.9</v>
      </c>
    </row>
    <row r="97" spans="1:29" x14ac:dyDescent="0.3">
      <c r="A97">
        <v>8</v>
      </c>
      <c r="B97">
        <v>96</v>
      </c>
      <c r="C97" t="str">
        <f ca="1">LOOKUP(A97,RQ3_reference!A$2:A$199,RQ3_reference!B$2:B$196)</f>
        <v>White_2015_Replacement</v>
      </c>
      <c r="D97" t="s">
        <v>147</v>
      </c>
      <c r="E97" t="s">
        <v>186</v>
      </c>
      <c r="H97">
        <v>6</v>
      </c>
      <c r="L97" t="s">
        <v>14</v>
      </c>
      <c r="M97" t="s">
        <v>18</v>
      </c>
      <c r="N97" t="s">
        <v>23</v>
      </c>
      <c r="O97" t="s">
        <v>84</v>
      </c>
      <c r="P97">
        <f t="shared" si="12"/>
        <v>16.8125</v>
      </c>
      <c r="Q97" s="6" t="s">
        <v>37</v>
      </c>
      <c r="R97" s="6" t="s">
        <v>42</v>
      </c>
      <c r="S97" t="s">
        <v>81</v>
      </c>
      <c r="T97" s="6">
        <v>30</v>
      </c>
      <c r="U97" t="s">
        <v>77</v>
      </c>
      <c r="V97" s="7">
        <v>1</v>
      </c>
      <c r="W97">
        <v>4</v>
      </c>
      <c r="X97" t="s">
        <v>102</v>
      </c>
      <c r="Y97" t="s">
        <v>13</v>
      </c>
      <c r="Z97">
        <v>51</v>
      </c>
      <c r="AA97">
        <v>3.9</v>
      </c>
      <c r="AB97">
        <v>51</v>
      </c>
      <c r="AC97">
        <v>3.9</v>
      </c>
    </row>
    <row r="98" spans="1:29" x14ac:dyDescent="0.3">
      <c r="A98">
        <v>9</v>
      </c>
      <c r="B98">
        <v>97</v>
      </c>
      <c r="C98" t="str">
        <f ca="1">LOOKUP(A98,RQ3_reference!A$2:A$199,RQ3_reference!B$2:B$196)</f>
        <v>Yu_2019_Use</v>
      </c>
      <c r="D98" t="s">
        <v>148</v>
      </c>
      <c r="E98" t="s">
        <v>187</v>
      </c>
      <c r="H98">
        <v>46</v>
      </c>
      <c r="L98" t="s">
        <v>14</v>
      </c>
      <c r="M98" t="s">
        <v>18</v>
      </c>
      <c r="N98" t="s">
        <v>23</v>
      </c>
      <c r="O98" t="s">
        <v>89</v>
      </c>
      <c r="P98">
        <v>14.53</v>
      </c>
      <c r="Q98" s="6" t="s">
        <v>37</v>
      </c>
      <c r="R98" s="6" t="s">
        <v>35</v>
      </c>
      <c r="S98" t="s">
        <v>86</v>
      </c>
      <c r="T98" s="6">
        <v>4</v>
      </c>
      <c r="U98" t="s">
        <v>77</v>
      </c>
      <c r="V98" s="7">
        <v>0.18</v>
      </c>
      <c r="W98">
        <v>24</v>
      </c>
      <c r="X98" t="s">
        <v>208</v>
      </c>
      <c r="Y98" t="s">
        <v>209</v>
      </c>
      <c r="Z98">
        <f>(119.6-76.46)/46</f>
        <v>0.9378260869565217</v>
      </c>
      <c r="AB98">
        <f>(115.68-76.34)/46</f>
        <v>0.85521739130434793</v>
      </c>
    </row>
    <row r="99" spans="1:29" x14ac:dyDescent="0.3">
      <c r="A99">
        <v>9</v>
      </c>
      <c r="B99">
        <v>98</v>
      </c>
      <c r="C99" t="str">
        <f ca="1">LOOKUP(A99,RQ3_reference!A$2:A$199,RQ3_reference!B$2:B$196)</f>
        <v>Yu_2019_Use</v>
      </c>
      <c r="D99" t="s">
        <v>148</v>
      </c>
      <c r="E99" t="s">
        <v>187</v>
      </c>
      <c r="H99">
        <v>46</v>
      </c>
      <c r="L99" t="s">
        <v>14</v>
      </c>
      <c r="M99" t="s">
        <v>18</v>
      </c>
      <c r="N99" t="s">
        <v>23</v>
      </c>
      <c r="O99" t="s">
        <v>89</v>
      </c>
      <c r="P99">
        <v>14.53</v>
      </c>
      <c r="Q99" s="6" t="s">
        <v>37</v>
      </c>
      <c r="R99" s="6" t="s">
        <v>35</v>
      </c>
      <c r="S99" t="s">
        <v>86</v>
      </c>
      <c r="T99" s="6">
        <v>8</v>
      </c>
      <c r="U99" t="s">
        <v>77</v>
      </c>
      <c r="V99" s="7">
        <v>0.37</v>
      </c>
      <c r="W99">
        <v>24</v>
      </c>
      <c r="X99" t="s">
        <v>208</v>
      </c>
      <c r="Y99" t="s">
        <v>209</v>
      </c>
      <c r="Z99">
        <f>(114.57-76.46)/46</f>
        <v>0.82847826086956522</v>
      </c>
      <c r="AB99">
        <f>(115.68-76.34)/46</f>
        <v>0.85521739130434793</v>
      </c>
    </row>
    <row r="100" spans="1:29" x14ac:dyDescent="0.3">
      <c r="A100">
        <v>9</v>
      </c>
      <c r="B100">
        <v>99</v>
      </c>
      <c r="C100" t="str">
        <f ca="1">LOOKUP(A100,RQ3_reference!A$2:A$199,RQ3_reference!B$2:B$196)</f>
        <v>Yu_2019_Use</v>
      </c>
      <c r="D100" t="s">
        <v>148</v>
      </c>
      <c r="E100" t="s">
        <v>187</v>
      </c>
      <c r="H100">
        <v>46</v>
      </c>
      <c r="L100" t="s">
        <v>14</v>
      </c>
      <c r="M100" t="s">
        <v>18</v>
      </c>
      <c r="N100" t="s">
        <v>23</v>
      </c>
      <c r="O100" t="s">
        <v>89</v>
      </c>
      <c r="P100">
        <v>14.53</v>
      </c>
      <c r="Q100" s="6" t="s">
        <v>37</v>
      </c>
      <c r="R100" s="6" t="s">
        <v>35</v>
      </c>
      <c r="S100" t="s">
        <v>86</v>
      </c>
      <c r="T100" s="6">
        <v>4</v>
      </c>
      <c r="U100" t="s">
        <v>77</v>
      </c>
      <c r="V100" s="7">
        <v>0.18</v>
      </c>
      <c r="W100">
        <v>24</v>
      </c>
      <c r="X100" t="s">
        <v>198</v>
      </c>
      <c r="Y100" t="s">
        <v>25</v>
      </c>
      <c r="Z100">
        <v>2.85</v>
      </c>
      <c r="AA100">
        <v>0.12</v>
      </c>
      <c r="AB100">
        <v>3.21</v>
      </c>
      <c r="AC100">
        <v>0.06</v>
      </c>
    </row>
    <row r="101" spans="1:29" x14ac:dyDescent="0.3">
      <c r="A101">
        <v>9</v>
      </c>
      <c r="B101">
        <v>100</v>
      </c>
      <c r="C101" t="str">
        <f ca="1">LOOKUP(A101,RQ3_reference!A$2:A$199,RQ3_reference!B$2:B$196)</f>
        <v>Yu_2019_Use</v>
      </c>
      <c r="D101" t="s">
        <v>148</v>
      </c>
      <c r="E101" t="s">
        <v>187</v>
      </c>
      <c r="H101">
        <v>46</v>
      </c>
      <c r="L101" t="s">
        <v>14</v>
      </c>
      <c r="M101" t="s">
        <v>18</v>
      </c>
      <c r="N101" t="s">
        <v>23</v>
      </c>
      <c r="O101" t="s">
        <v>89</v>
      </c>
      <c r="P101">
        <v>14.53</v>
      </c>
      <c r="Q101" s="6" t="s">
        <v>37</v>
      </c>
      <c r="R101" s="6" t="s">
        <v>35</v>
      </c>
      <c r="S101" t="s">
        <v>86</v>
      </c>
      <c r="T101" s="6">
        <v>8</v>
      </c>
      <c r="U101" t="s">
        <v>77</v>
      </c>
      <c r="V101" s="7">
        <v>0.37</v>
      </c>
      <c r="W101">
        <v>24</v>
      </c>
      <c r="X101" t="s">
        <v>198</v>
      </c>
      <c r="Y101" t="s">
        <v>25</v>
      </c>
      <c r="Z101">
        <v>3.24</v>
      </c>
      <c r="AA101">
        <v>0.05</v>
      </c>
      <c r="AB101">
        <v>3.21</v>
      </c>
      <c r="AC101">
        <v>0.06</v>
      </c>
    </row>
    <row r="102" spans="1:29" x14ac:dyDescent="0.3">
      <c r="A102">
        <v>10</v>
      </c>
      <c r="B102">
        <v>101</v>
      </c>
      <c r="C102" t="str">
        <f ca="1">LOOKUP(A102,RQ3_reference!A$2:A$199,RQ3_reference!B$2:B$196)</f>
        <v>Neumann_2018_N</v>
      </c>
      <c r="D102" t="s">
        <v>143</v>
      </c>
      <c r="E102" t="s">
        <v>184</v>
      </c>
      <c r="H102">
        <v>5</v>
      </c>
      <c r="L102" t="s">
        <v>14</v>
      </c>
      <c r="M102" t="s">
        <v>18</v>
      </c>
      <c r="N102" t="s">
        <v>23</v>
      </c>
      <c r="O102" t="s">
        <v>100</v>
      </c>
      <c r="P102">
        <v>21.07</v>
      </c>
      <c r="Q102" s="6" t="s">
        <v>92</v>
      </c>
      <c r="R102" s="6" t="s">
        <v>22</v>
      </c>
      <c r="S102" t="s">
        <v>65</v>
      </c>
      <c r="T102" s="6">
        <v>21</v>
      </c>
      <c r="U102" t="s">
        <v>76</v>
      </c>
      <c r="V102" s="7">
        <v>0.5</v>
      </c>
      <c r="W102">
        <v>16</v>
      </c>
      <c r="X102" t="s">
        <v>101</v>
      </c>
      <c r="Y102" t="s">
        <v>13</v>
      </c>
      <c r="Z102">
        <v>80.5</v>
      </c>
      <c r="AA102">
        <v>1.8</v>
      </c>
    </row>
    <row r="103" spans="1:29" x14ac:dyDescent="0.3">
      <c r="A103">
        <v>10</v>
      </c>
      <c r="B103">
        <v>102</v>
      </c>
      <c r="C103" t="str">
        <f ca="1">LOOKUP(A103,RQ3_reference!A$2:A$199,RQ3_reference!B$2:B$196)</f>
        <v>Neumann_2018_N</v>
      </c>
      <c r="D103" t="s">
        <v>143</v>
      </c>
      <c r="E103" t="s">
        <v>184</v>
      </c>
      <c r="H103">
        <v>5</v>
      </c>
      <c r="L103" t="s">
        <v>14</v>
      </c>
      <c r="M103" t="s">
        <v>18</v>
      </c>
      <c r="N103" t="s">
        <v>23</v>
      </c>
      <c r="O103" t="s">
        <v>100</v>
      </c>
      <c r="P103">
        <v>21.07</v>
      </c>
      <c r="Q103" s="6" t="s">
        <v>92</v>
      </c>
      <c r="R103" s="6" t="s">
        <v>35</v>
      </c>
      <c r="S103" t="s">
        <v>86</v>
      </c>
      <c r="T103" s="6">
        <v>21</v>
      </c>
      <c r="U103" t="s">
        <v>76</v>
      </c>
      <c r="V103" s="7">
        <v>0.5</v>
      </c>
      <c r="W103">
        <v>16</v>
      </c>
      <c r="X103" t="s">
        <v>101</v>
      </c>
      <c r="Y103" t="s">
        <v>13</v>
      </c>
      <c r="Z103">
        <v>77.099999999999994</v>
      </c>
      <c r="AA103">
        <v>2.7</v>
      </c>
    </row>
    <row r="104" spans="1:29" x14ac:dyDescent="0.3">
      <c r="A104">
        <v>10</v>
      </c>
      <c r="B104">
        <v>103</v>
      </c>
      <c r="C104" t="str">
        <f ca="1">LOOKUP(A104,RQ3_reference!A$2:A$199,RQ3_reference!B$2:B$196)</f>
        <v>Neumann_2018_N</v>
      </c>
      <c r="D104" t="s">
        <v>143</v>
      </c>
      <c r="E104" t="s">
        <v>184</v>
      </c>
      <c r="H104">
        <v>5</v>
      </c>
      <c r="L104" t="s">
        <v>14</v>
      </c>
      <c r="M104" t="s">
        <v>18</v>
      </c>
      <c r="N104" t="s">
        <v>23</v>
      </c>
      <c r="O104" t="s">
        <v>100</v>
      </c>
      <c r="P104">
        <v>21.07</v>
      </c>
      <c r="Q104" s="6" t="s">
        <v>92</v>
      </c>
      <c r="R104" s="6" t="s">
        <v>22</v>
      </c>
      <c r="S104" t="s">
        <v>65</v>
      </c>
      <c r="T104" s="6">
        <v>21</v>
      </c>
      <c r="U104" t="s">
        <v>76</v>
      </c>
      <c r="V104" s="7">
        <v>0.25</v>
      </c>
      <c r="W104">
        <v>16</v>
      </c>
      <c r="X104" t="s">
        <v>101</v>
      </c>
      <c r="Y104" t="s">
        <v>13</v>
      </c>
      <c r="Z104">
        <v>82.9</v>
      </c>
      <c r="AA104">
        <v>3.2</v>
      </c>
    </row>
    <row r="105" spans="1:29" x14ac:dyDescent="0.3">
      <c r="A105">
        <v>10</v>
      </c>
      <c r="B105">
        <v>104</v>
      </c>
      <c r="C105" t="str">
        <f ca="1">LOOKUP(A105,RQ3_reference!A$2:A$199,RQ3_reference!B$2:B$196)</f>
        <v>Neumann_2018_N</v>
      </c>
      <c r="D105" t="s">
        <v>143</v>
      </c>
      <c r="E105" t="s">
        <v>184</v>
      </c>
      <c r="H105">
        <v>5</v>
      </c>
      <c r="L105" t="s">
        <v>14</v>
      </c>
      <c r="M105" t="s">
        <v>18</v>
      </c>
      <c r="N105" t="s">
        <v>23</v>
      </c>
      <c r="O105" t="s">
        <v>100</v>
      </c>
      <c r="P105">
        <v>21.07</v>
      </c>
      <c r="Q105" s="6" t="s">
        <v>92</v>
      </c>
      <c r="R105" s="6" t="s">
        <v>35</v>
      </c>
      <c r="S105" t="s">
        <v>86</v>
      </c>
      <c r="T105" s="6">
        <v>21</v>
      </c>
      <c r="U105" t="s">
        <v>76</v>
      </c>
      <c r="V105" s="7">
        <v>0.5</v>
      </c>
      <c r="W105">
        <v>16</v>
      </c>
      <c r="X105" t="s">
        <v>101</v>
      </c>
      <c r="Y105" t="s">
        <v>13</v>
      </c>
      <c r="Z105">
        <v>77.7</v>
      </c>
      <c r="AA105">
        <v>2.7</v>
      </c>
    </row>
    <row r="106" spans="1:29" x14ac:dyDescent="0.3">
      <c r="A106">
        <v>10</v>
      </c>
      <c r="B106">
        <v>105</v>
      </c>
      <c r="C106" t="str">
        <f ca="1">LOOKUP(A106,RQ3_reference!A$2:A$199,RQ3_reference!B$2:B$196)</f>
        <v>Neumann_2018_N</v>
      </c>
      <c r="D106" t="s">
        <v>143</v>
      </c>
      <c r="E106" t="s">
        <v>184</v>
      </c>
      <c r="H106">
        <v>5</v>
      </c>
      <c r="L106" t="s">
        <v>14</v>
      </c>
      <c r="M106" t="s">
        <v>18</v>
      </c>
      <c r="N106" t="s">
        <v>23</v>
      </c>
      <c r="O106" t="s">
        <v>100</v>
      </c>
      <c r="P106">
        <v>18.28</v>
      </c>
      <c r="Q106" s="6" t="s">
        <v>92</v>
      </c>
      <c r="R106" s="6" t="s">
        <v>22</v>
      </c>
      <c r="S106" t="s">
        <v>65</v>
      </c>
      <c r="T106" s="6">
        <v>13</v>
      </c>
      <c r="U106" t="s">
        <v>77</v>
      </c>
      <c r="V106" s="7">
        <v>0.5</v>
      </c>
      <c r="W106">
        <v>16</v>
      </c>
      <c r="X106" t="s">
        <v>101</v>
      </c>
      <c r="Y106" t="s">
        <v>13</v>
      </c>
      <c r="Z106">
        <v>84</v>
      </c>
      <c r="AA106">
        <v>1.5</v>
      </c>
    </row>
    <row r="107" spans="1:29" x14ac:dyDescent="0.3">
      <c r="A107">
        <v>10</v>
      </c>
      <c r="B107">
        <v>106</v>
      </c>
      <c r="C107" t="str">
        <f ca="1">LOOKUP(A107,RQ3_reference!A$2:A$199,RQ3_reference!B$2:B$196)</f>
        <v>Neumann_2018_N</v>
      </c>
      <c r="D107" t="s">
        <v>143</v>
      </c>
      <c r="E107" t="s">
        <v>184</v>
      </c>
      <c r="H107">
        <v>5</v>
      </c>
      <c r="L107" t="s">
        <v>14</v>
      </c>
      <c r="M107" t="s">
        <v>18</v>
      </c>
      <c r="N107" t="s">
        <v>23</v>
      </c>
      <c r="O107" t="s">
        <v>100</v>
      </c>
      <c r="P107">
        <v>18.28</v>
      </c>
      <c r="Q107" s="6" t="s">
        <v>92</v>
      </c>
      <c r="R107" s="6" t="s">
        <v>35</v>
      </c>
      <c r="S107" t="s">
        <v>86</v>
      </c>
      <c r="T107" s="6">
        <v>13</v>
      </c>
      <c r="U107" t="s">
        <v>77</v>
      </c>
      <c r="V107" s="7">
        <v>0.5</v>
      </c>
      <c r="W107">
        <v>16</v>
      </c>
      <c r="X107" t="s">
        <v>101</v>
      </c>
      <c r="Y107" t="s">
        <v>13</v>
      </c>
      <c r="Z107">
        <v>79.099999999999994</v>
      </c>
      <c r="AA107">
        <v>1.2</v>
      </c>
    </row>
    <row r="108" spans="1:29" x14ac:dyDescent="0.3">
      <c r="A108">
        <v>10</v>
      </c>
      <c r="B108">
        <v>107</v>
      </c>
      <c r="C108" t="str">
        <f ca="1">LOOKUP(A108,RQ3_reference!A$2:A$199,RQ3_reference!B$2:B$196)</f>
        <v>Neumann_2018_N</v>
      </c>
      <c r="D108" t="s">
        <v>143</v>
      </c>
      <c r="E108" t="s">
        <v>184</v>
      </c>
      <c r="H108">
        <v>5</v>
      </c>
      <c r="L108" t="s">
        <v>14</v>
      </c>
      <c r="M108" t="s">
        <v>18</v>
      </c>
      <c r="N108" t="s">
        <v>23</v>
      </c>
      <c r="O108" t="s">
        <v>100</v>
      </c>
      <c r="P108">
        <v>18.28</v>
      </c>
      <c r="Q108" s="6" t="s">
        <v>92</v>
      </c>
      <c r="R108" s="6" t="s">
        <v>22</v>
      </c>
      <c r="S108" t="s">
        <v>65</v>
      </c>
      <c r="T108" s="6">
        <v>13</v>
      </c>
      <c r="U108" t="s">
        <v>77</v>
      </c>
      <c r="V108" s="7">
        <v>0.25</v>
      </c>
      <c r="W108">
        <v>16</v>
      </c>
      <c r="X108" t="s">
        <v>101</v>
      </c>
      <c r="Y108" t="s">
        <v>13</v>
      </c>
      <c r="Z108">
        <v>84.8</v>
      </c>
      <c r="AA108">
        <v>1.5</v>
      </c>
    </row>
    <row r="109" spans="1:29" x14ac:dyDescent="0.3">
      <c r="A109">
        <v>10</v>
      </c>
      <c r="B109">
        <v>108</v>
      </c>
      <c r="C109" t="str">
        <f ca="1">LOOKUP(A109,RQ3_reference!A$2:A$199,RQ3_reference!B$2:B$196)</f>
        <v>Neumann_2018_N</v>
      </c>
      <c r="D109" t="s">
        <v>143</v>
      </c>
      <c r="E109" t="s">
        <v>184</v>
      </c>
      <c r="H109">
        <v>5</v>
      </c>
      <c r="L109" t="s">
        <v>14</v>
      </c>
      <c r="M109" t="s">
        <v>18</v>
      </c>
      <c r="N109" t="s">
        <v>23</v>
      </c>
      <c r="O109" t="s">
        <v>100</v>
      </c>
      <c r="P109">
        <v>18.28</v>
      </c>
      <c r="Q109" s="6" t="s">
        <v>92</v>
      </c>
      <c r="R109" s="6" t="s">
        <v>35</v>
      </c>
      <c r="S109" t="s">
        <v>86</v>
      </c>
      <c r="T109" s="6">
        <v>13</v>
      </c>
      <c r="U109" t="s">
        <v>77</v>
      </c>
      <c r="V109" s="7">
        <v>0.5</v>
      </c>
      <c r="W109">
        <v>16</v>
      </c>
      <c r="X109" t="s">
        <v>101</v>
      </c>
      <c r="Y109" t="s">
        <v>13</v>
      </c>
      <c r="Z109">
        <v>79.3</v>
      </c>
      <c r="AA109">
        <v>1.9</v>
      </c>
    </row>
    <row r="110" spans="1:29" x14ac:dyDescent="0.3">
      <c r="A110">
        <v>10</v>
      </c>
      <c r="B110">
        <v>109</v>
      </c>
      <c r="C110" t="str">
        <f ca="1">LOOKUP(A110,RQ3_reference!A$2:A$199,RQ3_reference!B$2:B$196)</f>
        <v>Neumann_2018_N</v>
      </c>
      <c r="D110" t="s">
        <v>143</v>
      </c>
      <c r="E110" t="s">
        <v>184</v>
      </c>
      <c r="H110">
        <v>5</v>
      </c>
      <c r="L110" t="s">
        <v>14</v>
      </c>
      <c r="M110" t="s">
        <v>18</v>
      </c>
      <c r="N110" t="s">
        <v>23</v>
      </c>
      <c r="O110" t="s">
        <v>100</v>
      </c>
      <c r="P110">
        <v>18.28</v>
      </c>
      <c r="Q110" s="6" t="s">
        <v>92</v>
      </c>
      <c r="R110" s="6" t="s">
        <v>35</v>
      </c>
      <c r="S110" t="s">
        <v>86</v>
      </c>
      <c r="T110" s="6">
        <v>13</v>
      </c>
      <c r="U110" t="s">
        <v>77</v>
      </c>
      <c r="V110" s="7">
        <v>0.5</v>
      </c>
      <c r="W110">
        <v>16</v>
      </c>
      <c r="X110" t="s">
        <v>101</v>
      </c>
      <c r="Y110" t="s">
        <v>13</v>
      </c>
      <c r="Z110">
        <v>80.8</v>
      </c>
      <c r="AA110">
        <v>1</v>
      </c>
    </row>
    <row r="111" spans="1:29" x14ac:dyDescent="0.3">
      <c r="A111">
        <v>10</v>
      </c>
      <c r="B111">
        <v>110</v>
      </c>
      <c r="C111" t="str">
        <f ca="1">LOOKUP(A111,RQ3_reference!A$2:A$199,RQ3_reference!B$2:B$196)</f>
        <v>Neumann_2018_N</v>
      </c>
      <c r="D111" t="s">
        <v>143</v>
      </c>
      <c r="E111" t="s">
        <v>184</v>
      </c>
      <c r="H111">
        <v>5</v>
      </c>
      <c r="L111" t="s">
        <v>14</v>
      </c>
      <c r="M111" t="s">
        <v>18</v>
      </c>
      <c r="N111" t="s">
        <v>23</v>
      </c>
      <c r="O111" t="s">
        <v>100</v>
      </c>
      <c r="P111">
        <v>21.07</v>
      </c>
      <c r="Q111" s="6" t="s">
        <v>92</v>
      </c>
      <c r="R111" s="6" t="s">
        <v>22</v>
      </c>
      <c r="S111" t="s">
        <v>65</v>
      </c>
      <c r="T111" s="6">
        <v>21</v>
      </c>
      <c r="U111" t="s">
        <v>76</v>
      </c>
      <c r="V111" s="7">
        <v>0.5</v>
      </c>
      <c r="W111">
        <v>16</v>
      </c>
      <c r="X111" t="s">
        <v>71</v>
      </c>
      <c r="Y111" t="s">
        <v>13</v>
      </c>
      <c r="Z111">
        <v>63.6</v>
      </c>
      <c r="AA111">
        <v>2.1</v>
      </c>
    </row>
    <row r="112" spans="1:29" x14ac:dyDescent="0.3">
      <c r="A112">
        <v>10</v>
      </c>
      <c r="B112">
        <v>111</v>
      </c>
      <c r="C112" t="str">
        <f ca="1">LOOKUP(A112,RQ3_reference!A$2:A$199,RQ3_reference!B$2:B$196)</f>
        <v>Neumann_2018_N</v>
      </c>
      <c r="D112" t="s">
        <v>143</v>
      </c>
      <c r="E112" t="s">
        <v>184</v>
      </c>
      <c r="H112">
        <v>5</v>
      </c>
      <c r="L112" t="s">
        <v>14</v>
      </c>
      <c r="M112" t="s">
        <v>18</v>
      </c>
      <c r="N112" t="s">
        <v>23</v>
      </c>
      <c r="O112" t="s">
        <v>100</v>
      </c>
      <c r="P112">
        <v>21.07</v>
      </c>
      <c r="Q112" s="6" t="s">
        <v>92</v>
      </c>
      <c r="R112" s="6" t="s">
        <v>35</v>
      </c>
      <c r="S112" t="s">
        <v>86</v>
      </c>
      <c r="T112" s="6">
        <v>21</v>
      </c>
      <c r="U112" t="s">
        <v>76</v>
      </c>
      <c r="V112" s="7">
        <v>0.5</v>
      </c>
      <c r="W112">
        <v>16</v>
      </c>
      <c r="X112" t="s">
        <v>71</v>
      </c>
      <c r="Y112" t="s">
        <v>13</v>
      </c>
      <c r="Z112">
        <v>63.7</v>
      </c>
      <c r="AA112">
        <v>3.4</v>
      </c>
    </row>
    <row r="113" spans="1:28" x14ac:dyDescent="0.3">
      <c r="A113">
        <v>10</v>
      </c>
      <c r="B113">
        <v>112</v>
      </c>
      <c r="C113" t="str">
        <f ca="1">LOOKUP(A113,RQ3_reference!A$2:A$199,RQ3_reference!B$2:B$196)</f>
        <v>Neumann_2018_N</v>
      </c>
      <c r="D113" t="s">
        <v>143</v>
      </c>
      <c r="E113" t="s">
        <v>184</v>
      </c>
      <c r="H113">
        <v>5</v>
      </c>
      <c r="L113" t="s">
        <v>14</v>
      </c>
      <c r="M113" t="s">
        <v>18</v>
      </c>
      <c r="N113" t="s">
        <v>23</v>
      </c>
      <c r="O113" t="s">
        <v>100</v>
      </c>
      <c r="P113">
        <v>21.07</v>
      </c>
      <c r="Q113" s="6" t="s">
        <v>92</v>
      </c>
      <c r="R113" s="6" t="s">
        <v>22</v>
      </c>
      <c r="S113" t="s">
        <v>65</v>
      </c>
      <c r="T113" s="6">
        <v>21</v>
      </c>
      <c r="U113" t="s">
        <v>76</v>
      </c>
      <c r="V113" s="7">
        <v>0.25</v>
      </c>
      <c r="W113">
        <v>16</v>
      </c>
      <c r="X113" t="s">
        <v>71</v>
      </c>
      <c r="Y113" t="s">
        <v>13</v>
      </c>
      <c r="Z113">
        <v>72.8</v>
      </c>
      <c r="AA113">
        <v>6.7</v>
      </c>
    </row>
    <row r="114" spans="1:28" x14ac:dyDescent="0.3">
      <c r="A114">
        <v>10</v>
      </c>
      <c r="B114">
        <v>113</v>
      </c>
      <c r="C114" t="str">
        <f ca="1">LOOKUP(A114,RQ3_reference!A$2:A$199,RQ3_reference!B$2:B$196)</f>
        <v>Neumann_2018_N</v>
      </c>
      <c r="D114" t="s">
        <v>143</v>
      </c>
      <c r="E114" t="s">
        <v>184</v>
      </c>
      <c r="H114">
        <v>5</v>
      </c>
      <c r="L114" t="s">
        <v>14</v>
      </c>
      <c r="M114" t="s">
        <v>18</v>
      </c>
      <c r="N114" t="s">
        <v>23</v>
      </c>
      <c r="O114" t="s">
        <v>100</v>
      </c>
      <c r="P114">
        <v>21.07</v>
      </c>
      <c r="Q114" s="6" t="s">
        <v>92</v>
      </c>
      <c r="R114" s="6" t="s">
        <v>35</v>
      </c>
      <c r="S114" t="s">
        <v>86</v>
      </c>
      <c r="T114" s="6">
        <v>21</v>
      </c>
      <c r="U114" t="s">
        <v>76</v>
      </c>
      <c r="V114" s="7">
        <v>0.5</v>
      </c>
      <c r="W114">
        <v>16</v>
      </c>
      <c r="X114" t="s">
        <v>71</v>
      </c>
      <c r="Y114" t="s">
        <v>13</v>
      </c>
      <c r="Z114">
        <v>65.2</v>
      </c>
      <c r="AA114">
        <v>6.6</v>
      </c>
    </row>
    <row r="115" spans="1:28" x14ac:dyDescent="0.3">
      <c r="A115">
        <v>10</v>
      </c>
      <c r="B115">
        <v>114</v>
      </c>
      <c r="C115" t="str">
        <f ca="1">LOOKUP(A115,RQ3_reference!A$2:A$199,RQ3_reference!B$2:B$196)</f>
        <v>Neumann_2018_N</v>
      </c>
      <c r="D115" t="s">
        <v>143</v>
      </c>
      <c r="E115" t="s">
        <v>184</v>
      </c>
      <c r="H115">
        <v>5</v>
      </c>
      <c r="L115" t="s">
        <v>14</v>
      </c>
      <c r="M115" t="s">
        <v>18</v>
      </c>
      <c r="N115" t="s">
        <v>23</v>
      </c>
      <c r="O115" t="s">
        <v>100</v>
      </c>
      <c r="P115">
        <v>18.28</v>
      </c>
      <c r="Q115" s="6" t="s">
        <v>92</v>
      </c>
      <c r="R115" s="6" t="s">
        <v>22</v>
      </c>
      <c r="S115" t="s">
        <v>65</v>
      </c>
      <c r="T115" s="6">
        <v>13</v>
      </c>
      <c r="U115" t="s">
        <v>77</v>
      </c>
      <c r="V115" s="7">
        <v>0.5</v>
      </c>
      <c r="W115">
        <v>16</v>
      </c>
      <c r="X115" t="s">
        <v>71</v>
      </c>
      <c r="Y115" t="s">
        <v>13</v>
      </c>
      <c r="Z115">
        <v>55.7</v>
      </c>
      <c r="AA115">
        <v>5.6</v>
      </c>
    </row>
    <row r="116" spans="1:28" x14ac:dyDescent="0.3">
      <c r="A116">
        <v>10</v>
      </c>
      <c r="B116">
        <v>115</v>
      </c>
      <c r="C116" t="str">
        <f ca="1">LOOKUP(A116,RQ3_reference!A$2:A$199,RQ3_reference!B$2:B$196)</f>
        <v>Neumann_2018_N</v>
      </c>
      <c r="D116" t="s">
        <v>143</v>
      </c>
      <c r="E116" t="s">
        <v>184</v>
      </c>
      <c r="H116">
        <v>5</v>
      </c>
      <c r="L116" t="s">
        <v>14</v>
      </c>
      <c r="M116" t="s">
        <v>18</v>
      </c>
      <c r="N116" t="s">
        <v>23</v>
      </c>
      <c r="O116" t="s">
        <v>100</v>
      </c>
      <c r="P116">
        <v>18.28</v>
      </c>
      <c r="Q116" s="6" t="s">
        <v>92</v>
      </c>
      <c r="R116" s="6" t="s">
        <v>35</v>
      </c>
      <c r="S116" t="s">
        <v>86</v>
      </c>
      <c r="T116" s="6">
        <v>13</v>
      </c>
      <c r="U116" t="s">
        <v>77</v>
      </c>
      <c r="V116" s="7">
        <v>0.5</v>
      </c>
      <c r="W116">
        <v>16</v>
      </c>
      <c r="X116" t="s">
        <v>71</v>
      </c>
      <c r="Y116" t="s">
        <v>13</v>
      </c>
      <c r="Z116">
        <v>57.7</v>
      </c>
      <c r="AA116">
        <v>2.5</v>
      </c>
    </row>
    <row r="117" spans="1:28" x14ac:dyDescent="0.3">
      <c r="A117">
        <v>10</v>
      </c>
      <c r="B117">
        <v>116</v>
      </c>
      <c r="C117" t="str">
        <f ca="1">LOOKUP(A117,RQ3_reference!A$2:A$199,RQ3_reference!B$2:B$196)</f>
        <v>Neumann_2018_N</v>
      </c>
      <c r="D117" t="s">
        <v>143</v>
      </c>
      <c r="E117" t="s">
        <v>184</v>
      </c>
      <c r="H117">
        <v>5</v>
      </c>
      <c r="L117" t="s">
        <v>14</v>
      </c>
      <c r="M117" t="s">
        <v>18</v>
      </c>
      <c r="N117" t="s">
        <v>23</v>
      </c>
      <c r="O117" t="s">
        <v>100</v>
      </c>
      <c r="P117">
        <v>18.28</v>
      </c>
      <c r="Q117" s="6" t="s">
        <v>92</v>
      </c>
      <c r="R117" s="6" t="s">
        <v>22</v>
      </c>
      <c r="S117" t="s">
        <v>65</v>
      </c>
      <c r="T117" s="6">
        <v>13</v>
      </c>
      <c r="U117" t="s">
        <v>77</v>
      </c>
      <c r="V117" s="7">
        <v>0.25</v>
      </c>
      <c r="W117">
        <v>16</v>
      </c>
      <c r="X117" t="s">
        <v>71</v>
      </c>
      <c r="Y117" t="s">
        <v>13</v>
      </c>
      <c r="Z117">
        <v>64.099999999999994</v>
      </c>
      <c r="AA117">
        <v>6.6</v>
      </c>
    </row>
    <row r="118" spans="1:28" x14ac:dyDescent="0.3">
      <c r="A118">
        <v>10</v>
      </c>
      <c r="B118">
        <v>117</v>
      </c>
      <c r="C118" t="str">
        <f ca="1">LOOKUP(A118,RQ3_reference!A$2:A$199,RQ3_reference!B$2:B$196)</f>
        <v>Neumann_2018_N</v>
      </c>
      <c r="D118" t="s">
        <v>143</v>
      </c>
      <c r="E118" t="s">
        <v>184</v>
      </c>
      <c r="H118">
        <v>5</v>
      </c>
      <c r="L118" t="s">
        <v>14</v>
      </c>
      <c r="M118" t="s">
        <v>18</v>
      </c>
      <c r="N118" t="s">
        <v>23</v>
      </c>
      <c r="O118" t="s">
        <v>100</v>
      </c>
      <c r="P118">
        <v>18.28</v>
      </c>
      <c r="Q118" s="6" t="s">
        <v>92</v>
      </c>
      <c r="R118" s="6" t="s">
        <v>35</v>
      </c>
      <c r="S118" t="s">
        <v>86</v>
      </c>
      <c r="T118" s="6">
        <v>13</v>
      </c>
      <c r="U118" t="s">
        <v>77</v>
      </c>
      <c r="V118" s="7">
        <v>0.5</v>
      </c>
      <c r="W118">
        <v>16</v>
      </c>
      <c r="X118" t="s">
        <v>71</v>
      </c>
      <c r="Y118" t="s">
        <v>13</v>
      </c>
      <c r="Z118">
        <v>61.8</v>
      </c>
      <c r="AA118">
        <v>3.4</v>
      </c>
    </row>
    <row r="119" spans="1:28" x14ac:dyDescent="0.3">
      <c r="A119">
        <v>10</v>
      </c>
      <c r="B119">
        <v>118</v>
      </c>
      <c r="C119" t="str">
        <f ca="1">LOOKUP(A119,RQ3_reference!A$2:A$199,RQ3_reference!B$2:B$196)</f>
        <v>Neumann_2018_N</v>
      </c>
      <c r="D119" t="s">
        <v>143</v>
      </c>
      <c r="E119" t="s">
        <v>184</v>
      </c>
      <c r="H119">
        <v>5</v>
      </c>
      <c r="L119" t="s">
        <v>14</v>
      </c>
      <c r="M119" t="s">
        <v>18</v>
      </c>
      <c r="N119" t="s">
        <v>23</v>
      </c>
      <c r="O119" t="s">
        <v>100</v>
      </c>
      <c r="P119">
        <v>18.28</v>
      </c>
      <c r="Q119" s="6" t="s">
        <v>92</v>
      </c>
      <c r="R119" s="6" t="s">
        <v>35</v>
      </c>
      <c r="S119" t="s">
        <v>86</v>
      </c>
      <c r="T119" s="6">
        <v>13</v>
      </c>
      <c r="U119" t="s">
        <v>77</v>
      </c>
      <c r="V119" s="7">
        <v>0.5</v>
      </c>
      <c r="W119">
        <v>16</v>
      </c>
      <c r="X119" t="s">
        <v>71</v>
      </c>
      <c r="Y119" t="s">
        <v>13</v>
      </c>
      <c r="Z119">
        <v>71.8</v>
      </c>
      <c r="AA119">
        <v>1.3</v>
      </c>
    </row>
    <row r="120" spans="1:28" x14ac:dyDescent="0.3">
      <c r="A120">
        <v>11</v>
      </c>
      <c r="B120">
        <v>119</v>
      </c>
      <c r="C120" t="str">
        <f ca="1">LOOKUP(A120,RQ3_reference!A$2:A$199,RQ3_reference!B$2:B$196)</f>
        <v>Demann_2022_Nutritional</v>
      </c>
      <c r="D120" t="s">
        <v>143</v>
      </c>
      <c r="E120" t="s">
        <v>91</v>
      </c>
      <c r="H120">
        <v>6</v>
      </c>
      <c r="L120" t="s">
        <v>14</v>
      </c>
      <c r="M120" t="s">
        <v>18</v>
      </c>
      <c r="N120" t="s">
        <v>23</v>
      </c>
      <c r="O120" t="s">
        <v>96</v>
      </c>
      <c r="P120">
        <v>18.8</v>
      </c>
      <c r="Q120" s="6" t="s">
        <v>92</v>
      </c>
      <c r="R120" s="6" t="s">
        <v>93</v>
      </c>
      <c r="S120" t="s">
        <v>197</v>
      </c>
      <c r="T120" s="7">
        <v>50</v>
      </c>
      <c r="U120" t="s">
        <v>207</v>
      </c>
      <c r="V120" s="7">
        <v>0.5</v>
      </c>
      <c r="W120">
        <v>18</v>
      </c>
      <c r="X120" t="s">
        <v>208</v>
      </c>
      <c r="Y120" t="s">
        <v>209</v>
      </c>
      <c r="Z120">
        <f>(1.587-1.186)/6</f>
        <v>6.6833333333333342E-2</v>
      </c>
      <c r="AB120">
        <f>(1.821-1.195)/6</f>
        <v>0.10433333333333332</v>
      </c>
    </row>
    <row r="121" spans="1:28" x14ac:dyDescent="0.3">
      <c r="A121">
        <v>11</v>
      </c>
      <c r="B121">
        <v>120</v>
      </c>
      <c r="C121" t="str">
        <f ca="1">LOOKUP(A121,RQ3_reference!A$2:A$199,RQ3_reference!B$2:B$196)</f>
        <v>Demann_2022_Nutritional</v>
      </c>
      <c r="D121" t="s">
        <v>143</v>
      </c>
      <c r="E121" t="s">
        <v>91</v>
      </c>
      <c r="H121">
        <v>6</v>
      </c>
      <c r="L121" t="s">
        <v>14</v>
      </c>
      <c r="M121" t="s">
        <v>18</v>
      </c>
      <c r="N121" t="s">
        <v>23</v>
      </c>
      <c r="O121" t="s">
        <v>96</v>
      </c>
      <c r="P121">
        <v>18.8</v>
      </c>
      <c r="Q121" s="6" t="s">
        <v>92</v>
      </c>
      <c r="R121" s="6" t="s">
        <v>93</v>
      </c>
      <c r="S121" t="s">
        <v>94</v>
      </c>
      <c r="T121" s="7">
        <v>50</v>
      </c>
      <c r="U121" t="s">
        <v>207</v>
      </c>
      <c r="V121" s="7">
        <v>0.5</v>
      </c>
      <c r="W121">
        <v>17</v>
      </c>
      <c r="X121" t="s">
        <v>208</v>
      </c>
      <c r="Y121" t="s">
        <v>209</v>
      </c>
      <c r="Z121">
        <f>(1.665-1.192)/6</f>
        <v>7.8833333333333352E-2</v>
      </c>
      <c r="AB121">
        <f t="shared" ref="AB121:AB124" si="13">(1.821-1.195)/6</f>
        <v>0.10433333333333332</v>
      </c>
    </row>
    <row r="122" spans="1:28" x14ac:dyDescent="0.3">
      <c r="A122">
        <v>11</v>
      </c>
      <c r="B122">
        <v>121</v>
      </c>
      <c r="C122" t="str">
        <f ca="1">LOOKUP(A122,RQ3_reference!A$2:A$199,RQ3_reference!B$2:B$196)</f>
        <v>Demann_2022_Nutritional</v>
      </c>
      <c r="D122" t="s">
        <v>143</v>
      </c>
      <c r="E122" t="s">
        <v>91</v>
      </c>
      <c r="H122">
        <v>6</v>
      </c>
      <c r="L122" t="s">
        <v>14</v>
      </c>
      <c r="M122" t="s">
        <v>18</v>
      </c>
      <c r="N122" t="s">
        <v>23</v>
      </c>
      <c r="O122" t="s">
        <v>96</v>
      </c>
      <c r="P122">
        <v>18.8</v>
      </c>
      <c r="Q122" s="6" t="s">
        <v>92</v>
      </c>
      <c r="R122" s="6" t="s">
        <v>93</v>
      </c>
      <c r="S122" t="s">
        <v>95</v>
      </c>
      <c r="T122" s="7">
        <v>25</v>
      </c>
      <c r="U122" t="s">
        <v>207</v>
      </c>
      <c r="V122" s="7">
        <v>0.25</v>
      </c>
      <c r="W122">
        <v>18</v>
      </c>
      <c r="X122" t="s">
        <v>208</v>
      </c>
      <c r="Y122" t="s">
        <v>209</v>
      </c>
      <c r="Z122">
        <f>(1.848-1.18)/6</f>
        <v>0.11133333333333335</v>
      </c>
      <c r="AB122">
        <f t="shared" si="13"/>
        <v>0.10433333333333332</v>
      </c>
    </row>
    <row r="123" spans="1:28" x14ac:dyDescent="0.3">
      <c r="A123">
        <v>11</v>
      </c>
      <c r="B123">
        <v>122</v>
      </c>
      <c r="C123" t="str">
        <f ca="1">LOOKUP(A123,RQ3_reference!A$2:A$199,RQ3_reference!B$2:B$196)</f>
        <v>Demann_2022_Nutritional</v>
      </c>
      <c r="D123" t="s">
        <v>143</v>
      </c>
      <c r="E123" t="s">
        <v>91</v>
      </c>
      <c r="H123">
        <v>6</v>
      </c>
      <c r="L123" t="s">
        <v>14</v>
      </c>
      <c r="M123" t="s">
        <v>18</v>
      </c>
      <c r="N123" t="s">
        <v>23</v>
      </c>
      <c r="O123" t="s">
        <v>96</v>
      </c>
      <c r="P123">
        <v>18.8</v>
      </c>
      <c r="Q123" s="6" t="s">
        <v>92</v>
      </c>
      <c r="R123" s="6" t="s">
        <v>93</v>
      </c>
      <c r="S123" t="s">
        <v>95</v>
      </c>
      <c r="T123" s="7">
        <v>50</v>
      </c>
      <c r="U123" t="s">
        <v>207</v>
      </c>
      <c r="V123" s="7">
        <v>0.5</v>
      </c>
      <c r="W123">
        <v>17</v>
      </c>
      <c r="X123" t="s">
        <v>208</v>
      </c>
      <c r="Y123" t="s">
        <v>209</v>
      </c>
      <c r="Z123">
        <f>(1.608-1.191)/6</f>
        <v>6.9500000000000006E-2</v>
      </c>
      <c r="AB123">
        <f t="shared" si="13"/>
        <v>0.10433333333333332</v>
      </c>
    </row>
    <row r="124" spans="1:28" x14ac:dyDescent="0.3">
      <c r="A124">
        <v>11</v>
      </c>
      <c r="B124">
        <v>123</v>
      </c>
      <c r="C124" t="str">
        <f ca="1">LOOKUP(A124,RQ3_reference!A$2:A$199,RQ3_reference!B$2:B$196)</f>
        <v>Demann_2022_Nutritional</v>
      </c>
      <c r="D124" t="s">
        <v>143</v>
      </c>
      <c r="E124" t="s">
        <v>91</v>
      </c>
      <c r="H124">
        <v>6</v>
      </c>
      <c r="L124" t="s">
        <v>14</v>
      </c>
      <c r="M124" t="s">
        <v>18</v>
      </c>
      <c r="N124" t="s">
        <v>23</v>
      </c>
      <c r="O124" t="s">
        <v>96</v>
      </c>
      <c r="P124">
        <v>18.8</v>
      </c>
      <c r="Q124" s="6" t="s">
        <v>92</v>
      </c>
      <c r="R124" s="6" t="s">
        <v>93</v>
      </c>
      <c r="S124" t="s">
        <v>95</v>
      </c>
      <c r="T124" s="7">
        <v>75</v>
      </c>
      <c r="U124" t="s">
        <v>207</v>
      </c>
      <c r="V124" s="7">
        <v>0.75</v>
      </c>
      <c r="W124">
        <v>14</v>
      </c>
      <c r="X124" t="s">
        <v>208</v>
      </c>
      <c r="Y124" t="s">
        <v>209</v>
      </c>
      <c r="Z124">
        <f>(1.317-1.188)/6</f>
        <v>2.1500000000000002E-2</v>
      </c>
      <c r="AB124">
        <f t="shared" si="13"/>
        <v>0.10433333333333332</v>
      </c>
    </row>
    <row r="125" spans="1:28" x14ac:dyDescent="0.3">
      <c r="A125">
        <v>11</v>
      </c>
      <c r="B125">
        <v>124</v>
      </c>
      <c r="C125" t="str">
        <f ca="1">LOOKUP(A125,RQ3_reference!A$2:A$199,RQ3_reference!B$2:B$196)</f>
        <v>Demann_2022_Nutritional</v>
      </c>
      <c r="D125" t="s">
        <v>143</v>
      </c>
      <c r="E125" t="s">
        <v>91</v>
      </c>
      <c r="H125">
        <v>6</v>
      </c>
      <c r="L125" t="s">
        <v>14</v>
      </c>
      <c r="M125" t="s">
        <v>18</v>
      </c>
      <c r="N125" t="s">
        <v>23</v>
      </c>
      <c r="O125" t="s">
        <v>96</v>
      </c>
      <c r="P125">
        <v>18.8</v>
      </c>
      <c r="Q125" s="6" t="s">
        <v>92</v>
      </c>
      <c r="R125" s="6" t="s">
        <v>93</v>
      </c>
      <c r="S125" t="s">
        <v>197</v>
      </c>
      <c r="T125" s="7">
        <v>50</v>
      </c>
      <c r="U125" t="s">
        <v>207</v>
      </c>
      <c r="V125" s="7">
        <v>0.5</v>
      </c>
      <c r="W125">
        <v>18</v>
      </c>
      <c r="X125" t="s">
        <v>97</v>
      </c>
      <c r="Y125" t="s">
        <v>195</v>
      </c>
      <c r="Z125">
        <v>34.1</v>
      </c>
      <c r="AA125">
        <v>1.2</v>
      </c>
    </row>
    <row r="126" spans="1:28" x14ac:dyDescent="0.3">
      <c r="A126">
        <v>11</v>
      </c>
      <c r="B126">
        <v>125</v>
      </c>
      <c r="C126" t="str">
        <f ca="1">LOOKUP(A126,RQ3_reference!A$2:A$199,RQ3_reference!B$2:B$196)</f>
        <v>Demann_2022_Nutritional</v>
      </c>
      <c r="D126" t="s">
        <v>143</v>
      </c>
      <c r="E126" t="s">
        <v>91</v>
      </c>
      <c r="H126">
        <v>6</v>
      </c>
      <c r="L126" t="s">
        <v>14</v>
      </c>
      <c r="M126" t="s">
        <v>18</v>
      </c>
      <c r="N126" t="s">
        <v>23</v>
      </c>
      <c r="O126" t="s">
        <v>96</v>
      </c>
      <c r="P126">
        <v>18.8</v>
      </c>
      <c r="Q126" s="6" t="s">
        <v>92</v>
      </c>
      <c r="R126" s="6" t="s">
        <v>93</v>
      </c>
      <c r="S126" t="s">
        <v>94</v>
      </c>
      <c r="T126" s="7">
        <v>50</v>
      </c>
      <c r="U126" t="s">
        <v>207</v>
      </c>
      <c r="V126" s="7">
        <v>0.5</v>
      </c>
      <c r="W126">
        <v>17</v>
      </c>
      <c r="X126" t="s">
        <v>97</v>
      </c>
      <c r="Y126" t="s">
        <v>195</v>
      </c>
      <c r="Z126">
        <v>55.3</v>
      </c>
      <c r="AA126">
        <v>1.5</v>
      </c>
    </row>
    <row r="127" spans="1:28" x14ac:dyDescent="0.3">
      <c r="A127">
        <v>11</v>
      </c>
      <c r="B127">
        <v>126</v>
      </c>
      <c r="C127" t="str">
        <f ca="1">LOOKUP(A127,RQ3_reference!A$2:A$199,RQ3_reference!B$2:B$196)</f>
        <v>Demann_2022_Nutritional</v>
      </c>
      <c r="D127" t="s">
        <v>143</v>
      </c>
      <c r="E127" t="s">
        <v>91</v>
      </c>
      <c r="H127">
        <v>6</v>
      </c>
      <c r="L127" t="s">
        <v>14</v>
      </c>
      <c r="M127" t="s">
        <v>18</v>
      </c>
      <c r="N127" t="s">
        <v>23</v>
      </c>
      <c r="O127" t="s">
        <v>96</v>
      </c>
      <c r="P127">
        <v>18.8</v>
      </c>
      <c r="Q127" s="6" t="s">
        <v>92</v>
      </c>
      <c r="R127" s="6" t="s">
        <v>93</v>
      </c>
      <c r="S127" t="s">
        <v>95</v>
      </c>
      <c r="T127" s="7">
        <v>25</v>
      </c>
      <c r="U127" t="s">
        <v>207</v>
      </c>
      <c r="V127" s="7">
        <v>0.25</v>
      </c>
      <c r="W127">
        <v>18</v>
      </c>
      <c r="X127" t="s">
        <v>97</v>
      </c>
      <c r="Y127" t="s">
        <v>195</v>
      </c>
      <c r="Z127">
        <v>79.8</v>
      </c>
      <c r="AA127">
        <v>1.5</v>
      </c>
    </row>
    <row r="128" spans="1:28" x14ac:dyDescent="0.3">
      <c r="A128">
        <v>11</v>
      </c>
      <c r="B128">
        <v>127</v>
      </c>
      <c r="C128" t="str">
        <f ca="1">LOOKUP(A128,RQ3_reference!A$2:A$199,RQ3_reference!B$2:B$196)</f>
        <v>Demann_2022_Nutritional</v>
      </c>
      <c r="D128" t="s">
        <v>143</v>
      </c>
      <c r="E128" t="s">
        <v>91</v>
      </c>
      <c r="H128">
        <v>6</v>
      </c>
      <c r="L128" t="s">
        <v>14</v>
      </c>
      <c r="M128" t="s">
        <v>18</v>
      </c>
      <c r="N128" t="s">
        <v>23</v>
      </c>
      <c r="O128" t="s">
        <v>96</v>
      </c>
      <c r="P128">
        <v>18.8</v>
      </c>
      <c r="Q128" s="6" t="s">
        <v>92</v>
      </c>
      <c r="R128" s="6" t="s">
        <v>93</v>
      </c>
      <c r="S128" t="s">
        <v>95</v>
      </c>
      <c r="T128" s="7">
        <v>50</v>
      </c>
      <c r="U128" t="s">
        <v>207</v>
      </c>
      <c r="V128" s="7">
        <v>0.5</v>
      </c>
      <c r="W128">
        <v>17</v>
      </c>
      <c r="X128" t="s">
        <v>97</v>
      </c>
      <c r="Y128" t="s">
        <v>195</v>
      </c>
      <c r="Z128">
        <v>80.8</v>
      </c>
      <c r="AA128">
        <v>0.5</v>
      </c>
    </row>
    <row r="129" spans="1:29" x14ac:dyDescent="0.3">
      <c r="A129">
        <v>11</v>
      </c>
      <c r="B129">
        <v>128</v>
      </c>
      <c r="C129" t="str">
        <f ca="1">LOOKUP(A129,RQ3_reference!A$2:A$199,RQ3_reference!B$2:B$196)</f>
        <v>Demann_2022_Nutritional</v>
      </c>
      <c r="D129" t="s">
        <v>143</v>
      </c>
      <c r="E129" t="s">
        <v>91</v>
      </c>
      <c r="H129">
        <v>6</v>
      </c>
      <c r="L129" t="s">
        <v>14</v>
      </c>
      <c r="M129" t="s">
        <v>18</v>
      </c>
      <c r="N129" t="s">
        <v>23</v>
      </c>
      <c r="O129" t="s">
        <v>96</v>
      </c>
      <c r="P129">
        <v>18.8</v>
      </c>
      <c r="Q129" s="6" t="s">
        <v>92</v>
      </c>
      <c r="R129" s="6" t="s">
        <v>93</v>
      </c>
      <c r="S129" t="s">
        <v>95</v>
      </c>
      <c r="T129" s="7">
        <v>75</v>
      </c>
      <c r="U129" t="s">
        <v>207</v>
      </c>
      <c r="V129" s="7">
        <v>0.75</v>
      </c>
      <c r="W129">
        <v>14</v>
      </c>
      <c r="X129" t="s">
        <v>97</v>
      </c>
      <c r="Y129" t="s">
        <v>195</v>
      </c>
      <c r="Z129">
        <v>78</v>
      </c>
      <c r="AA129">
        <v>1</v>
      </c>
    </row>
    <row r="130" spans="1:29" x14ac:dyDescent="0.3">
      <c r="A130">
        <v>11</v>
      </c>
      <c r="B130">
        <v>129</v>
      </c>
      <c r="C130" t="str">
        <f ca="1">LOOKUP(A130,RQ3_reference!A$2:A$199,RQ3_reference!B$2:B$196)</f>
        <v>Demann_2022_Nutritional</v>
      </c>
      <c r="D130" t="s">
        <v>143</v>
      </c>
      <c r="E130" t="s">
        <v>91</v>
      </c>
      <c r="H130">
        <v>6</v>
      </c>
      <c r="L130" t="s">
        <v>14</v>
      </c>
      <c r="M130" t="s">
        <v>18</v>
      </c>
      <c r="N130" t="s">
        <v>23</v>
      </c>
      <c r="O130" t="s">
        <v>96</v>
      </c>
      <c r="P130">
        <v>18.8</v>
      </c>
      <c r="Q130" s="6" t="s">
        <v>92</v>
      </c>
      <c r="R130" s="6" t="s">
        <v>93</v>
      </c>
      <c r="S130" t="s">
        <v>197</v>
      </c>
      <c r="T130" s="7">
        <v>50</v>
      </c>
      <c r="U130" t="s">
        <v>207</v>
      </c>
      <c r="V130" s="7">
        <v>0.5</v>
      </c>
      <c r="W130">
        <v>18</v>
      </c>
      <c r="X130" t="s">
        <v>198</v>
      </c>
      <c r="Y130" t="s">
        <v>25</v>
      </c>
      <c r="Z130">
        <v>2.16</v>
      </c>
      <c r="AA130">
        <v>0.04</v>
      </c>
      <c r="AB130">
        <v>1.49</v>
      </c>
      <c r="AC130">
        <v>0.03</v>
      </c>
    </row>
    <row r="131" spans="1:29" x14ac:dyDescent="0.3">
      <c r="A131">
        <v>11</v>
      </c>
      <c r="B131">
        <v>130</v>
      </c>
      <c r="C131" t="str">
        <f ca="1">LOOKUP(A131,RQ3_reference!A$2:A$199,RQ3_reference!B$2:B$196)</f>
        <v>Demann_2022_Nutritional</v>
      </c>
      <c r="D131" t="s">
        <v>143</v>
      </c>
      <c r="E131" t="s">
        <v>91</v>
      </c>
      <c r="H131">
        <v>6</v>
      </c>
      <c r="L131" t="s">
        <v>14</v>
      </c>
      <c r="M131" t="s">
        <v>18</v>
      </c>
      <c r="N131" t="s">
        <v>23</v>
      </c>
      <c r="O131" t="s">
        <v>96</v>
      </c>
      <c r="P131">
        <v>18.8</v>
      </c>
      <c r="Q131" s="6" t="s">
        <v>92</v>
      </c>
      <c r="R131" s="6" t="s">
        <v>93</v>
      </c>
      <c r="S131" t="s">
        <v>94</v>
      </c>
      <c r="T131" s="7">
        <v>50</v>
      </c>
      <c r="U131" t="s">
        <v>207</v>
      </c>
      <c r="V131" s="7">
        <v>0.5</v>
      </c>
      <c r="W131">
        <v>17</v>
      </c>
      <c r="X131" t="s">
        <v>198</v>
      </c>
      <c r="Y131" t="s">
        <v>25</v>
      </c>
      <c r="Z131">
        <v>1.88</v>
      </c>
      <c r="AA131">
        <v>0.03</v>
      </c>
      <c r="AB131">
        <v>1.49</v>
      </c>
      <c r="AC131">
        <v>0.03</v>
      </c>
    </row>
    <row r="132" spans="1:29" x14ac:dyDescent="0.3">
      <c r="A132">
        <v>11</v>
      </c>
      <c r="B132">
        <v>131</v>
      </c>
      <c r="C132" t="str">
        <f ca="1">LOOKUP(A132,RQ3_reference!A$2:A$199,RQ3_reference!B$2:B$196)</f>
        <v>Demann_2022_Nutritional</v>
      </c>
      <c r="D132" t="s">
        <v>143</v>
      </c>
      <c r="E132" t="s">
        <v>91</v>
      </c>
      <c r="H132">
        <v>6</v>
      </c>
      <c r="L132" t="s">
        <v>14</v>
      </c>
      <c r="M132" t="s">
        <v>18</v>
      </c>
      <c r="N132" t="s">
        <v>23</v>
      </c>
      <c r="O132" t="s">
        <v>96</v>
      </c>
      <c r="P132">
        <v>18.8</v>
      </c>
      <c r="Q132" s="6" t="s">
        <v>92</v>
      </c>
      <c r="R132" s="6" t="s">
        <v>93</v>
      </c>
      <c r="S132" t="s">
        <v>95</v>
      </c>
      <c r="T132" s="7">
        <v>25</v>
      </c>
      <c r="U132" t="s">
        <v>207</v>
      </c>
      <c r="V132" s="7">
        <v>0.25</v>
      </c>
      <c r="W132">
        <v>18</v>
      </c>
      <c r="X132" t="s">
        <v>198</v>
      </c>
      <c r="Y132" t="s">
        <v>25</v>
      </c>
      <c r="Z132">
        <v>1.35</v>
      </c>
      <c r="AA132">
        <v>0.02</v>
      </c>
      <c r="AB132">
        <v>1.49</v>
      </c>
      <c r="AC132">
        <v>0.03</v>
      </c>
    </row>
    <row r="133" spans="1:29" x14ac:dyDescent="0.3">
      <c r="A133">
        <v>11</v>
      </c>
      <c r="B133">
        <v>132</v>
      </c>
      <c r="C133" t="str">
        <f ca="1">LOOKUP(A133,RQ3_reference!A$2:A$199,RQ3_reference!B$2:B$196)</f>
        <v>Demann_2022_Nutritional</v>
      </c>
      <c r="D133" t="s">
        <v>143</v>
      </c>
      <c r="E133" t="s">
        <v>91</v>
      </c>
      <c r="H133">
        <v>6</v>
      </c>
      <c r="L133" t="s">
        <v>14</v>
      </c>
      <c r="M133" t="s">
        <v>18</v>
      </c>
      <c r="N133" t="s">
        <v>23</v>
      </c>
      <c r="O133" t="s">
        <v>96</v>
      </c>
      <c r="P133">
        <v>18.8</v>
      </c>
      <c r="Q133" s="6" t="s">
        <v>92</v>
      </c>
      <c r="R133" s="6" t="s">
        <v>93</v>
      </c>
      <c r="S133" t="s">
        <v>95</v>
      </c>
      <c r="T133" s="7">
        <v>50</v>
      </c>
      <c r="U133" t="s">
        <v>207</v>
      </c>
      <c r="V133" s="7">
        <v>0.5</v>
      </c>
      <c r="W133">
        <v>17</v>
      </c>
      <c r="X133" t="s">
        <v>198</v>
      </c>
      <c r="Y133" t="s">
        <v>25</v>
      </c>
      <c r="Z133">
        <v>1.61</v>
      </c>
      <c r="AA133">
        <v>0.06</v>
      </c>
      <c r="AB133">
        <v>1.49</v>
      </c>
      <c r="AC133">
        <v>0.03</v>
      </c>
    </row>
    <row r="134" spans="1:29" x14ac:dyDescent="0.3">
      <c r="A134">
        <v>11</v>
      </c>
      <c r="B134">
        <v>133</v>
      </c>
      <c r="C134" t="str">
        <f ca="1">LOOKUP(A134,RQ3_reference!A$2:A$199,RQ3_reference!B$2:B$196)</f>
        <v>Demann_2022_Nutritional</v>
      </c>
      <c r="D134" t="s">
        <v>143</v>
      </c>
      <c r="E134" t="s">
        <v>91</v>
      </c>
      <c r="H134">
        <v>6</v>
      </c>
      <c r="L134" t="s">
        <v>14</v>
      </c>
      <c r="M134" t="s">
        <v>18</v>
      </c>
      <c r="N134" t="s">
        <v>23</v>
      </c>
      <c r="O134" t="s">
        <v>96</v>
      </c>
      <c r="P134">
        <v>18.8</v>
      </c>
      <c r="Q134" s="6" t="s">
        <v>92</v>
      </c>
      <c r="R134" s="6" t="s">
        <v>93</v>
      </c>
      <c r="S134" t="s">
        <v>95</v>
      </c>
      <c r="T134" s="7">
        <v>75</v>
      </c>
      <c r="U134" t="s">
        <v>207</v>
      </c>
      <c r="V134" s="7">
        <v>0.75</v>
      </c>
      <c r="W134">
        <v>14</v>
      </c>
      <c r="X134" t="s">
        <v>198</v>
      </c>
      <c r="Y134" t="s">
        <v>25</v>
      </c>
      <c r="Z134">
        <v>3.93</v>
      </c>
      <c r="AA134">
        <v>0.35</v>
      </c>
      <c r="AB134">
        <v>1.49</v>
      </c>
      <c r="AC134">
        <v>0.03</v>
      </c>
    </row>
    <row r="135" spans="1:29" x14ac:dyDescent="0.3">
      <c r="A135">
        <v>12</v>
      </c>
      <c r="B135">
        <v>134</v>
      </c>
      <c r="C135" t="str">
        <f ca="1">LOOKUP(A135,RQ3_reference!A$2:A$199,RQ3_reference!B$2:B$196)</f>
        <v>Haustein_1992_Compensatory</v>
      </c>
      <c r="D135" t="s">
        <v>149</v>
      </c>
      <c r="E135" t="s">
        <v>110</v>
      </c>
      <c r="F135" s="8" t="s">
        <v>108</v>
      </c>
      <c r="G135" t="s">
        <v>109</v>
      </c>
      <c r="H135">
        <v>21</v>
      </c>
      <c r="L135" t="s">
        <v>14</v>
      </c>
      <c r="M135" t="s">
        <v>18</v>
      </c>
      <c r="N135" t="s">
        <v>23</v>
      </c>
      <c r="O135" t="s">
        <v>106</v>
      </c>
      <c r="P135">
        <v>22</v>
      </c>
      <c r="Q135" s="6" t="s">
        <v>92</v>
      </c>
      <c r="R135" s="6" t="s">
        <v>93</v>
      </c>
      <c r="S135" t="s">
        <v>103</v>
      </c>
      <c r="T135" s="7">
        <v>10</v>
      </c>
      <c r="U135" t="s">
        <v>207</v>
      </c>
      <c r="V135" s="7">
        <v>1</v>
      </c>
      <c r="W135">
        <v>11</v>
      </c>
      <c r="X135" t="s">
        <v>208</v>
      </c>
      <c r="Y135" t="s">
        <v>209</v>
      </c>
      <c r="Z135">
        <f>0.11/21</f>
        <v>5.2380952380952379E-3</v>
      </c>
      <c r="AB135">
        <f>0.12/21</f>
        <v>5.7142857142857143E-3</v>
      </c>
    </row>
    <row r="136" spans="1:29" x14ac:dyDescent="0.3">
      <c r="A136">
        <v>12</v>
      </c>
      <c r="B136">
        <v>135</v>
      </c>
      <c r="C136" t="str">
        <f ca="1">LOOKUP(A136,RQ3_reference!A$2:A$199,RQ3_reference!B$2:B$196)</f>
        <v>Haustein_1992_Compensatory</v>
      </c>
      <c r="D136" t="s">
        <v>149</v>
      </c>
      <c r="E136" t="s">
        <v>110</v>
      </c>
      <c r="F136" s="8" t="s">
        <v>108</v>
      </c>
      <c r="G136" t="s">
        <v>109</v>
      </c>
      <c r="H136">
        <v>21</v>
      </c>
      <c r="L136" t="s">
        <v>14</v>
      </c>
      <c r="M136" t="s">
        <v>18</v>
      </c>
      <c r="N136" t="s">
        <v>23</v>
      </c>
      <c r="O136" t="s">
        <v>106</v>
      </c>
      <c r="P136">
        <v>22</v>
      </c>
      <c r="Q136" s="6" t="s">
        <v>92</v>
      </c>
      <c r="R136" s="6" t="s">
        <v>93</v>
      </c>
      <c r="S136" t="s">
        <v>103</v>
      </c>
      <c r="T136" s="7">
        <v>20</v>
      </c>
      <c r="U136" t="s">
        <v>207</v>
      </c>
      <c r="V136" s="7">
        <v>1</v>
      </c>
      <c r="W136">
        <v>11</v>
      </c>
      <c r="X136" t="s">
        <v>208</v>
      </c>
      <c r="Y136" t="s">
        <v>209</v>
      </c>
      <c r="Z136">
        <f>0.1/21</f>
        <v>4.7619047619047623E-3</v>
      </c>
      <c r="AB136">
        <f t="shared" ref="AB136:AB138" si="14">0.12/21</f>
        <v>5.7142857142857143E-3</v>
      </c>
    </row>
    <row r="137" spans="1:29" x14ac:dyDescent="0.3">
      <c r="A137">
        <v>12</v>
      </c>
      <c r="B137">
        <v>136</v>
      </c>
      <c r="C137" t="str">
        <f ca="1">LOOKUP(A137,RQ3_reference!A$2:A$199,RQ3_reference!B$2:B$196)</f>
        <v>Haustein_1992_Compensatory</v>
      </c>
      <c r="D137" t="s">
        <v>149</v>
      </c>
      <c r="E137" t="s">
        <v>110</v>
      </c>
      <c r="F137" s="8" t="s">
        <v>108</v>
      </c>
      <c r="G137" t="s">
        <v>109</v>
      </c>
      <c r="H137">
        <v>21</v>
      </c>
      <c r="L137" t="s">
        <v>14</v>
      </c>
      <c r="M137" t="s">
        <v>18</v>
      </c>
      <c r="N137" t="s">
        <v>23</v>
      </c>
      <c r="O137" t="s">
        <v>106</v>
      </c>
      <c r="P137">
        <v>22</v>
      </c>
      <c r="Q137" s="6" t="s">
        <v>92</v>
      </c>
      <c r="R137" s="6" t="s">
        <v>93</v>
      </c>
      <c r="S137" t="s">
        <v>103</v>
      </c>
      <c r="T137" s="7">
        <v>30</v>
      </c>
      <c r="U137" t="s">
        <v>207</v>
      </c>
      <c r="V137" s="7">
        <v>1</v>
      </c>
      <c r="W137">
        <v>11</v>
      </c>
      <c r="X137" t="s">
        <v>208</v>
      </c>
      <c r="Y137" t="s">
        <v>209</v>
      </c>
      <c r="Z137">
        <f>0.8/21</f>
        <v>3.8095238095238099E-2</v>
      </c>
      <c r="AB137">
        <f t="shared" si="14"/>
        <v>5.7142857142857143E-3</v>
      </c>
    </row>
    <row r="138" spans="1:29" x14ac:dyDescent="0.3">
      <c r="A138">
        <v>12</v>
      </c>
      <c r="B138">
        <v>137</v>
      </c>
      <c r="C138" t="str">
        <f ca="1">LOOKUP(A138,RQ3_reference!A$2:A$199,RQ3_reference!B$2:B$196)</f>
        <v>Haustein_1992_Compensatory</v>
      </c>
      <c r="D138" t="s">
        <v>149</v>
      </c>
      <c r="E138" t="s">
        <v>110</v>
      </c>
      <c r="F138" s="8" t="s">
        <v>108</v>
      </c>
      <c r="G138" t="s">
        <v>109</v>
      </c>
      <c r="H138">
        <v>21</v>
      </c>
      <c r="L138" t="s">
        <v>14</v>
      </c>
      <c r="M138" t="s">
        <v>18</v>
      </c>
      <c r="N138" t="s">
        <v>23</v>
      </c>
      <c r="O138" t="s">
        <v>107</v>
      </c>
      <c r="P138">
        <v>22</v>
      </c>
      <c r="Q138" s="6" t="s">
        <v>92</v>
      </c>
      <c r="R138" s="6" t="s">
        <v>93</v>
      </c>
      <c r="S138" t="s">
        <v>103</v>
      </c>
      <c r="T138" s="7">
        <v>40</v>
      </c>
      <c r="U138" t="s">
        <v>207</v>
      </c>
      <c r="V138" s="7">
        <v>1</v>
      </c>
      <c r="W138">
        <v>11</v>
      </c>
      <c r="X138" t="s">
        <v>208</v>
      </c>
      <c r="Y138" t="s">
        <v>209</v>
      </c>
      <c r="Z138">
        <f>0.6/21</f>
        <v>2.8571428571428571E-2</v>
      </c>
      <c r="AB138">
        <f t="shared" si="14"/>
        <v>5.7142857142857143E-3</v>
      </c>
    </row>
    <row r="139" spans="1:29" x14ac:dyDescent="0.3">
      <c r="A139">
        <v>12</v>
      </c>
      <c r="B139">
        <v>138</v>
      </c>
      <c r="C139" t="str">
        <f ca="1">LOOKUP(A139,RQ3_reference!A$2:A$199,RQ3_reference!B$2:B$196)</f>
        <v>Haustein_1992_Compensatory</v>
      </c>
      <c r="D139" t="s">
        <v>149</v>
      </c>
      <c r="E139" t="s">
        <v>110</v>
      </c>
      <c r="F139" s="8" t="s">
        <v>108</v>
      </c>
      <c r="G139" t="s">
        <v>109</v>
      </c>
      <c r="H139">
        <v>28</v>
      </c>
      <c r="L139" t="s">
        <v>14</v>
      </c>
      <c r="M139" t="s">
        <v>18</v>
      </c>
      <c r="N139" t="s">
        <v>23</v>
      </c>
      <c r="O139" t="s">
        <v>107</v>
      </c>
      <c r="P139">
        <v>22</v>
      </c>
      <c r="Q139" s="6" t="s">
        <v>92</v>
      </c>
      <c r="R139" s="6" t="s">
        <v>93</v>
      </c>
      <c r="S139" t="s">
        <v>103</v>
      </c>
      <c r="T139" s="7">
        <v>10</v>
      </c>
      <c r="U139" t="s">
        <v>207</v>
      </c>
      <c r="V139" s="7">
        <v>0.5</v>
      </c>
      <c r="W139">
        <v>11</v>
      </c>
      <c r="X139" t="s">
        <v>208</v>
      </c>
      <c r="Y139" t="s">
        <v>209</v>
      </c>
      <c r="Z139">
        <f>0.6/28</f>
        <v>2.1428571428571429E-2</v>
      </c>
      <c r="AB139">
        <f>0.43/28</f>
        <v>1.5357142857142857E-2</v>
      </c>
    </row>
    <row r="140" spans="1:29" x14ac:dyDescent="0.3">
      <c r="A140">
        <v>12</v>
      </c>
      <c r="B140">
        <v>139</v>
      </c>
      <c r="C140" t="str">
        <f ca="1">LOOKUP(A140,RQ3_reference!A$2:A$199,RQ3_reference!B$2:B$196)</f>
        <v>Haustein_1992_Compensatory</v>
      </c>
      <c r="D140" t="s">
        <v>149</v>
      </c>
      <c r="E140" t="s">
        <v>110</v>
      </c>
      <c r="F140" s="8" t="s">
        <v>108</v>
      </c>
      <c r="G140" t="s">
        <v>109</v>
      </c>
      <c r="H140">
        <v>28</v>
      </c>
      <c r="L140" t="s">
        <v>14</v>
      </c>
      <c r="M140" t="s">
        <v>18</v>
      </c>
      <c r="N140" t="s">
        <v>23</v>
      </c>
      <c r="O140" t="s">
        <v>107</v>
      </c>
      <c r="P140">
        <v>22</v>
      </c>
      <c r="Q140" s="6" t="s">
        <v>92</v>
      </c>
      <c r="R140" s="6" t="s">
        <v>93</v>
      </c>
      <c r="S140" t="s">
        <v>103</v>
      </c>
      <c r="T140" s="7">
        <v>15</v>
      </c>
      <c r="U140" t="s">
        <v>207</v>
      </c>
      <c r="V140" s="7">
        <v>0.7</v>
      </c>
      <c r="W140">
        <v>11</v>
      </c>
      <c r="X140" t="s">
        <v>208</v>
      </c>
      <c r="Y140" t="s">
        <v>209</v>
      </c>
      <c r="Z140">
        <f>0.42/28</f>
        <v>1.4999999999999999E-2</v>
      </c>
      <c r="AB140">
        <f t="shared" ref="AB140:AB143" si="15">0.43/28</f>
        <v>1.5357142857142857E-2</v>
      </c>
    </row>
    <row r="141" spans="1:29" x14ac:dyDescent="0.3">
      <c r="A141">
        <v>12</v>
      </c>
      <c r="B141">
        <v>140</v>
      </c>
      <c r="C141" t="str">
        <f ca="1">LOOKUP(A141,RQ3_reference!A$2:A$199,RQ3_reference!B$2:B$196)</f>
        <v>Haustein_1992_Compensatory</v>
      </c>
      <c r="D141" t="s">
        <v>149</v>
      </c>
      <c r="E141" t="s">
        <v>110</v>
      </c>
      <c r="F141" s="8" t="s">
        <v>108</v>
      </c>
      <c r="G141" t="s">
        <v>109</v>
      </c>
      <c r="H141">
        <v>28</v>
      </c>
      <c r="L141" t="s">
        <v>14</v>
      </c>
      <c r="M141" t="s">
        <v>18</v>
      </c>
      <c r="N141" t="s">
        <v>23</v>
      </c>
      <c r="O141" t="s">
        <v>107</v>
      </c>
      <c r="P141">
        <v>22</v>
      </c>
      <c r="Q141" s="6" t="s">
        <v>92</v>
      </c>
      <c r="R141" s="6" t="s">
        <v>93</v>
      </c>
      <c r="S141" t="s">
        <v>103</v>
      </c>
      <c r="T141" s="7">
        <v>20</v>
      </c>
      <c r="U141" t="s">
        <v>207</v>
      </c>
      <c r="V141" s="7">
        <v>1</v>
      </c>
      <c r="W141">
        <v>11</v>
      </c>
      <c r="X141" t="s">
        <v>208</v>
      </c>
      <c r="Y141" t="s">
        <v>209</v>
      </c>
      <c r="Z141">
        <f>0.41/28</f>
        <v>1.4642857142857141E-2</v>
      </c>
      <c r="AB141">
        <f t="shared" si="15"/>
        <v>1.5357142857142857E-2</v>
      </c>
    </row>
    <row r="142" spans="1:29" x14ac:dyDescent="0.3">
      <c r="A142">
        <v>12</v>
      </c>
      <c r="B142">
        <v>141</v>
      </c>
      <c r="C142" t="str">
        <f ca="1">LOOKUP(A142,RQ3_reference!A$2:A$199,RQ3_reference!B$2:B$196)</f>
        <v>Haustein_1992_Compensatory</v>
      </c>
      <c r="D142" t="s">
        <v>149</v>
      </c>
      <c r="E142" t="s">
        <v>110</v>
      </c>
      <c r="F142" s="8" t="s">
        <v>108</v>
      </c>
      <c r="G142" t="s">
        <v>109</v>
      </c>
      <c r="H142">
        <v>28</v>
      </c>
      <c r="L142" t="s">
        <v>14</v>
      </c>
      <c r="M142" t="s">
        <v>18</v>
      </c>
      <c r="N142" t="s">
        <v>23</v>
      </c>
      <c r="O142" t="s">
        <v>107</v>
      </c>
      <c r="P142">
        <v>22</v>
      </c>
      <c r="Q142" s="6" t="s">
        <v>92</v>
      </c>
      <c r="R142" s="6" t="s">
        <v>93</v>
      </c>
      <c r="S142" t="s">
        <v>103</v>
      </c>
      <c r="T142" s="7">
        <v>25</v>
      </c>
      <c r="U142" t="s">
        <v>207</v>
      </c>
      <c r="V142" s="7">
        <v>1</v>
      </c>
      <c r="W142">
        <v>11</v>
      </c>
      <c r="X142" t="s">
        <v>208</v>
      </c>
      <c r="Y142" t="s">
        <v>209</v>
      </c>
      <c r="Z142">
        <f>0.4/28</f>
        <v>1.4285714285714287E-2</v>
      </c>
      <c r="AB142">
        <f t="shared" si="15"/>
        <v>1.5357142857142857E-2</v>
      </c>
    </row>
    <row r="143" spans="1:29" x14ac:dyDescent="0.3">
      <c r="A143">
        <v>12</v>
      </c>
      <c r="B143">
        <v>142</v>
      </c>
      <c r="C143" t="str">
        <f ca="1">LOOKUP(A143,RQ3_reference!A$2:A$199,RQ3_reference!B$2:B$196)</f>
        <v>Haustein_1992_Compensatory</v>
      </c>
      <c r="D143" t="s">
        <v>149</v>
      </c>
      <c r="E143" t="s">
        <v>110</v>
      </c>
      <c r="F143" s="8" t="s">
        <v>108</v>
      </c>
      <c r="G143" t="s">
        <v>109</v>
      </c>
      <c r="H143">
        <v>28</v>
      </c>
      <c r="L143" t="s">
        <v>14</v>
      </c>
      <c r="M143" t="s">
        <v>18</v>
      </c>
      <c r="N143" t="s">
        <v>23</v>
      </c>
      <c r="O143" t="s">
        <v>107</v>
      </c>
      <c r="P143">
        <v>22</v>
      </c>
      <c r="Q143" s="6" t="s">
        <v>92</v>
      </c>
      <c r="R143" s="6" t="s">
        <v>93</v>
      </c>
      <c r="S143" t="s">
        <v>103</v>
      </c>
      <c r="T143" s="7">
        <v>30</v>
      </c>
      <c r="U143" t="s">
        <v>207</v>
      </c>
      <c r="V143" s="7">
        <v>1</v>
      </c>
      <c r="W143">
        <v>11</v>
      </c>
      <c r="X143" t="s">
        <v>208</v>
      </c>
      <c r="Y143" t="s">
        <v>209</v>
      </c>
      <c r="Z143">
        <f>0.38/28</f>
        <v>1.3571428571428571E-2</v>
      </c>
      <c r="AB143">
        <f t="shared" si="15"/>
        <v>1.5357142857142857E-2</v>
      </c>
    </row>
    <row r="144" spans="1:29" x14ac:dyDescent="0.3">
      <c r="A144">
        <v>13</v>
      </c>
      <c r="B144">
        <v>143</v>
      </c>
      <c r="C144" t="str">
        <f ca="1">LOOKUP(A144,RQ3_reference!A$2:A$199,RQ3_reference!B$2:B$196)</f>
        <v>Khatun_2004_Effect</v>
      </c>
      <c r="D144" t="s">
        <v>182</v>
      </c>
      <c r="E144" t="s">
        <v>115</v>
      </c>
      <c r="F144" t="s">
        <v>113</v>
      </c>
      <c r="G144" t="s">
        <v>114</v>
      </c>
      <c r="H144">
        <v>42</v>
      </c>
      <c r="L144" t="s">
        <v>14</v>
      </c>
      <c r="M144" t="s">
        <v>18</v>
      </c>
      <c r="N144" t="s">
        <v>23</v>
      </c>
      <c r="O144" t="s">
        <v>116</v>
      </c>
      <c r="P144">
        <v>22.27</v>
      </c>
      <c r="Q144" s="6" t="s">
        <v>92</v>
      </c>
      <c r="R144" s="6" t="s">
        <v>93</v>
      </c>
      <c r="S144" t="s">
        <v>117</v>
      </c>
      <c r="T144" s="7">
        <v>5.5</v>
      </c>
      <c r="U144" t="s">
        <v>207</v>
      </c>
      <c r="V144" s="7">
        <f>(5+6)/18</f>
        <v>0.61111111111111116</v>
      </c>
      <c r="W144">
        <v>33</v>
      </c>
      <c r="X144" t="s">
        <v>208</v>
      </c>
      <c r="Y144" t="s">
        <v>209</v>
      </c>
      <c r="Z144">
        <f>0.18851*6/42</f>
        <v>2.6930000000000003E-2</v>
      </c>
      <c r="AA144">
        <f>0.01898*6/42</f>
        <v>2.7114285714285717E-3</v>
      </c>
      <c r="AB144">
        <f>0.187*6/42</f>
        <v>2.6714285714285711E-2</v>
      </c>
      <c r="AC144">
        <f>0.01898*6/42</f>
        <v>2.7114285714285717E-3</v>
      </c>
    </row>
    <row r="145" spans="1:29" x14ac:dyDescent="0.3">
      <c r="A145">
        <v>13</v>
      </c>
      <c r="B145">
        <v>144</v>
      </c>
      <c r="C145" t="str">
        <f ca="1">LOOKUP(A145,RQ3_reference!A$2:A$199,RQ3_reference!B$2:B$196)</f>
        <v>Khatun_2004_Effect</v>
      </c>
      <c r="D145" t="s">
        <v>182</v>
      </c>
      <c r="E145" t="s">
        <v>115</v>
      </c>
      <c r="F145" t="s">
        <v>113</v>
      </c>
      <c r="G145" t="s">
        <v>114</v>
      </c>
      <c r="H145">
        <v>42</v>
      </c>
      <c r="L145" t="s">
        <v>14</v>
      </c>
      <c r="M145" t="s">
        <v>18</v>
      </c>
      <c r="N145" t="s">
        <v>23</v>
      </c>
      <c r="O145" t="s">
        <v>107</v>
      </c>
      <c r="P145">
        <v>22.27</v>
      </c>
      <c r="Q145" s="6" t="s">
        <v>92</v>
      </c>
      <c r="R145" s="6" t="s">
        <v>93</v>
      </c>
      <c r="S145" t="s">
        <v>118</v>
      </c>
      <c r="T145" s="7">
        <v>6</v>
      </c>
      <c r="U145" t="s">
        <v>207</v>
      </c>
      <c r="V145" s="7">
        <f>(5+7)/18</f>
        <v>0.66666666666666663</v>
      </c>
      <c r="W145">
        <v>33</v>
      </c>
      <c r="X145" t="s">
        <v>208</v>
      </c>
      <c r="Y145" t="s">
        <v>209</v>
      </c>
      <c r="Z145">
        <f>0.18929*6/42</f>
        <v>2.7041428571428577E-2</v>
      </c>
      <c r="AA145">
        <f>0.01037*6/42</f>
        <v>1.4814285714285715E-3</v>
      </c>
      <c r="AB145">
        <f>0.187*6/42</f>
        <v>2.6714285714285711E-2</v>
      </c>
      <c r="AC145">
        <f>0.01037*6/42</f>
        <v>1.4814285714285715E-3</v>
      </c>
    </row>
    <row r="146" spans="1:29" x14ac:dyDescent="0.3">
      <c r="A146">
        <v>13</v>
      </c>
      <c r="B146">
        <v>145</v>
      </c>
      <c r="C146" t="str">
        <f ca="1">LOOKUP(A146,RQ3_reference!A$2:A$199,RQ3_reference!B$2:B$196)</f>
        <v>Khatun_2004_Effect</v>
      </c>
      <c r="D146" t="s">
        <v>182</v>
      </c>
      <c r="E146" t="s">
        <v>115</v>
      </c>
      <c r="F146" t="s">
        <v>113</v>
      </c>
      <c r="G146" t="s">
        <v>114</v>
      </c>
      <c r="H146">
        <v>42</v>
      </c>
      <c r="L146" t="s">
        <v>14</v>
      </c>
      <c r="M146" t="s">
        <v>18</v>
      </c>
      <c r="N146" t="s">
        <v>23</v>
      </c>
      <c r="O146" t="s">
        <v>116</v>
      </c>
      <c r="P146">
        <v>22.27</v>
      </c>
      <c r="Q146" s="6" t="s">
        <v>92</v>
      </c>
      <c r="R146" s="6" t="s">
        <v>93</v>
      </c>
      <c r="S146" t="s">
        <v>117</v>
      </c>
      <c r="T146" s="7">
        <v>5.5</v>
      </c>
      <c r="U146" t="s">
        <v>207</v>
      </c>
      <c r="V146" s="7">
        <f>(5+6)/18</f>
        <v>0.61111111111111116</v>
      </c>
      <c r="W146">
        <v>33</v>
      </c>
      <c r="X146" t="s">
        <v>198</v>
      </c>
      <c r="Y146" t="s">
        <v>25</v>
      </c>
      <c r="Z146">
        <v>2.5299999999999998</v>
      </c>
      <c r="AA146">
        <v>0.12</v>
      </c>
      <c r="AB146">
        <v>2.54</v>
      </c>
      <c r="AC146">
        <v>0.12</v>
      </c>
    </row>
    <row r="147" spans="1:29" x14ac:dyDescent="0.3">
      <c r="A147">
        <v>13</v>
      </c>
      <c r="B147">
        <v>146</v>
      </c>
      <c r="C147" t="str">
        <f ca="1">LOOKUP(A147,RQ3_reference!A$2:A$199,RQ3_reference!B$2:B$196)</f>
        <v>Khatun_2004_Effect</v>
      </c>
      <c r="D147" t="s">
        <v>182</v>
      </c>
      <c r="E147" t="s">
        <v>115</v>
      </c>
      <c r="F147" t="s">
        <v>113</v>
      </c>
      <c r="G147" t="s">
        <v>114</v>
      </c>
      <c r="H147">
        <v>42</v>
      </c>
      <c r="L147" t="s">
        <v>14</v>
      </c>
      <c r="M147" t="s">
        <v>18</v>
      </c>
      <c r="N147" t="s">
        <v>23</v>
      </c>
      <c r="O147" t="s">
        <v>107</v>
      </c>
      <c r="P147">
        <v>22.27</v>
      </c>
      <c r="Q147" s="6" t="s">
        <v>92</v>
      </c>
      <c r="R147" s="6" t="s">
        <v>93</v>
      </c>
      <c r="S147" t="s">
        <v>118</v>
      </c>
      <c r="T147" s="7">
        <v>6</v>
      </c>
      <c r="U147" t="s">
        <v>207</v>
      </c>
      <c r="V147" s="7">
        <f>(5+7)/18</f>
        <v>0.66666666666666663</v>
      </c>
      <c r="W147">
        <v>33</v>
      </c>
      <c r="X147" t="s">
        <v>198</v>
      </c>
      <c r="Y147" t="s">
        <v>25</v>
      </c>
      <c r="Z147">
        <v>2.4700000000000002</v>
      </c>
      <c r="AA147">
        <v>0.12</v>
      </c>
      <c r="AB147">
        <v>2.54</v>
      </c>
      <c r="AC147">
        <v>0.12</v>
      </c>
    </row>
    <row r="148" spans="1:29" x14ac:dyDescent="0.3">
      <c r="A148">
        <v>14</v>
      </c>
      <c r="B148">
        <v>147</v>
      </c>
      <c r="C148" t="str">
        <f ca="1">LOOKUP(A148,RQ3_reference!A$2:A$199,RQ3_reference!B$2:B$196)</f>
        <v>Nyende_2023_Energy</v>
      </c>
      <c r="D148" t="s">
        <v>152</v>
      </c>
      <c r="E148" t="s">
        <v>121</v>
      </c>
      <c r="F148" t="s">
        <v>122</v>
      </c>
      <c r="G148" t="s">
        <v>123</v>
      </c>
      <c r="H148">
        <v>9</v>
      </c>
      <c r="L148" t="s">
        <v>14</v>
      </c>
      <c r="M148" t="s">
        <v>18</v>
      </c>
      <c r="N148" t="s">
        <v>23</v>
      </c>
      <c r="O148" t="s">
        <v>128</v>
      </c>
      <c r="P148">
        <v>24.65</v>
      </c>
      <c r="Q148" s="6" t="s">
        <v>37</v>
      </c>
      <c r="R148" s="6" t="s">
        <v>42</v>
      </c>
      <c r="S148" t="s">
        <v>124</v>
      </c>
      <c r="T148" s="7">
        <v>95</v>
      </c>
      <c r="U148" t="s">
        <v>76</v>
      </c>
      <c r="V148" s="7">
        <v>1</v>
      </c>
      <c r="W148">
        <v>8</v>
      </c>
      <c r="X148" t="s">
        <v>97</v>
      </c>
      <c r="Y148" t="s">
        <v>195</v>
      </c>
      <c r="Z148">
        <v>82.1</v>
      </c>
      <c r="AA148">
        <v>1.1000000000000001</v>
      </c>
    </row>
    <row r="149" spans="1:29" x14ac:dyDescent="0.3">
      <c r="A149">
        <v>14</v>
      </c>
      <c r="B149">
        <v>148</v>
      </c>
      <c r="C149" t="str">
        <f ca="1">LOOKUP(A149,RQ3_reference!A$2:A$199,RQ3_reference!B$2:B$196)</f>
        <v>Nyende_2023_Energy</v>
      </c>
      <c r="D149" t="s">
        <v>152</v>
      </c>
      <c r="E149" t="s">
        <v>121</v>
      </c>
      <c r="F149" t="s">
        <v>122</v>
      </c>
      <c r="G149" t="s">
        <v>123</v>
      </c>
      <c r="H149">
        <v>9</v>
      </c>
      <c r="L149" t="s">
        <v>14</v>
      </c>
      <c r="M149" t="s">
        <v>18</v>
      </c>
      <c r="N149" t="s">
        <v>23</v>
      </c>
      <c r="O149" t="s">
        <v>128</v>
      </c>
      <c r="P149">
        <v>28.46</v>
      </c>
      <c r="Q149" s="6" t="s">
        <v>37</v>
      </c>
      <c r="R149" s="6" t="s">
        <v>42</v>
      </c>
      <c r="S149" t="s">
        <v>125</v>
      </c>
      <c r="T149" s="7">
        <v>95</v>
      </c>
      <c r="U149" t="s">
        <v>76</v>
      </c>
      <c r="V149" s="7">
        <v>1</v>
      </c>
      <c r="W149">
        <v>8</v>
      </c>
      <c r="X149" t="s">
        <v>97</v>
      </c>
      <c r="Y149" t="s">
        <v>195</v>
      </c>
      <c r="Z149">
        <v>82.1</v>
      </c>
      <c r="AA149">
        <v>1.1000000000000001</v>
      </c>
    </row>
    <row r="150" spans="1:29" x14ac:dyDescent="0.3">
      <c r="A150">
        <v>14</v>
      </c>
      <c r="B150">
        <v>149</v>
      </c>
      <c r="C150" t="str">
        <f ca="1">LOOKUP(A150,RQ3_reference!A$2:A$199,RQ3_reference!B$2:B$196)</f>
        <v>Nyende_2023_Energy</v>
      </c>
      <c r="D150" t="s">
        <v>152</v>
      </c>
      <c r="E150" t="s">
        <v>121</v>
      </c>
      <c r="F150" t="s">
        <v>122</v>
      </c>
      <c r="G150" t="s">
        <v>123</v>
      </c>
      <c r="H150">
        <v>9</v>
      </c>
      <c r="L150" t="s">
        <v>14</v>
      </c>
      <c r="M150" t="s">
        <v>18</v>
      </c>
      <c r="N150" t="s">
        <v>23</v>
      </c>
      <c r="O150" t="s">
        <v>128</v>
      </c>
      <c r="P150">
        <v>29.31</v>
      </c>
      <c r="Q150" s="6" t="s">
        <v>37</v>
      </c>
      <c r="R150" s="6" t="s">
        <v>42</v>
      </c>
      <c r="S150" t="s">
        <v>126</v>
      </c>
      <c r="T150" s="7">
        <v>95</v>
      </c>
      <c r="U150" t="s">
        <v>76</v>
      </c>
      <c r="V150" s="7">
        <v>1</v>
      </c>
      <c r="W150">
        <v>8</v>
      </c>
      <c r="X150" t="s">
        <v>97</v>
      </c>
      <c r="Y150" t="s">
        <v>195</v>
      </c>
      <c r="Z150">
        <v>76.2</v>
      </c>
      <c r="AA150">
        <v>1.1000000000000001</v>
      </c>
    </row>
    <row r="151" spans="1:29" x14ac:dyDescent="0.3">
      <c r="A151">
        <v>14</v>
      </c>
      <c r="B151">
        <v>150</v>
      </c>
      <c r="C151" t="str">
        <f ca="1">LOOKUP(A151,RQ3_reference!A$2:A$199,RQ3_reference!B$2:B$196)</f>
        <v>Nyende_2023_Energy</v>
      </c>
      <c r="D151" t="s">
        <v>152</v>
      </c>
      <c r="E151" t="s">
        <v>121</v>
      </c>
      <c r="F151" t="s">
        <v>122</v>
      </c>
      <c r="G151" t="s">
        <v>123</v>
      </c>
      <c r="H151">
        <v>9</v>
      </c>
      <c r="L151" t="s">
        <v>14</v>
      </c>
      <c r="M151" t="s">
        <v>18</v>
      </c>
      <c r="N151" t="s">
        <v>23</v>
      </c>
      <c r="O151" t="s">
        <v>128</v>
      </c>
      <c r="P151">
        <v>27.65</v>
      </c>
      <c r="Q151" s="6" t="s">
        <v>37</v>
      </c>
      <c r="R151" s="6" t="s">
        <v>42</v>
      </c>
      <c r="S151" t="s">
        <v>127</v>
      </c>
      <c r="T151" s="7">
        <v>95</v>
      </c>
      <c r="U151" t="s">
        <v>76</v>
      </c>
      <c r="V151" s="7">
        <v>1</v>
      </c>
      <c r="W151">
        <v>8</v>
      </c>
      <c r="X151" t="s">
        <v>97</v>
      </c>
      <c r="Y151" t="s">
        <v>195</v>
      </c>
      <c r="Z151">
        <v>73.7</v>
      </c>
      <c r="AA151">
        <v>1.1000000000000001</v>
      </c>
    </row>
    <row r="152" spans="1:29" x14ac:dyDescent="0.3">
      <c r="A152">
        <v>15</v>
      </c>
      <c r="B152">
        <v>151</v>
      </c>
      <c r="C152" t="str">
        <f ca="1">LOOKUP(A152,RQ3_reference!A$2:A$199,RQ3_reference!B$2:B$196)</f>
        <v>Nyende_2022_Effect</v>
      </c>
      <c r="D152" t="s">
        <v>152</v>
      </c>
      <c r="E152" t="s">
        <v>121</v>
      </c>
      <c r="F152" t="s">
        <v>122</v>
      </c>
      <c r="G152" t="s">
        <v>123</v>
      </c>
      <c r="H152">
        <v>14</v>
      </c>
      <c r="L152" t="s">
        <v>14</v>
      </c>
      <c r="M152" t="s">
        <v>18</v>
      </c>
      <c r="N152" t="s">
        <v>23</v>
      </c>
      <c r="O152" t="s">
        <v>134</v>
      </c>
      <c r="P152">
        <v>26.76</v>
      </c>
      <c r="Q152" s="6" t="s">
        <v>37</v>
      </c>
      <c r="R152" s="6" t="s">
        <v>42</v>
      </c>
      <c r="S152" t="s">
        <v>131</v>
      </c>
      <c r="T152" s="7">
        <v>20</v>
      </c>
      <c r="U152" t="s">
        <v>76</v>
      </c>
      <c r="V152" s="7">
        <v>0.2</v>
      </c>
      <c r="W152">
        <v>20</v>
      </c>
      <c r="X152" t="s">
        <v>97</v>
      </c>
      <c r="Y152" t="s">
        <v>195</v>
      </c>
      <c r="Z152">
        <v>81.7</v>
      </c>
      <c r="AA152">
        <v>0.69</v>
      </c>
    </row>
    <row r="153" spans="1:29" x14ac:dyDescent="0.3">
      <c r="A153">
        <v>15</v>
      </c>
      <c r="B153">
        <v>152</v>
      </c>
      <c r="C153" t="str">
        <f ca="1">LOOKUP(A153,RQ3_reference!A$2:A$199,RQ3_reference!B$2:B$196)</f>
        <v>Nyende_2022_Effect</v>
      </c>
      <c r="D153" t="s">
        <v>152</v>
      </c>
      <c r="E153" t="s">
        <v>121</v>
      </c>
      <c r="F153" t="s">
        <v>122</v>
      </c>
      <c r="G153" t="s">
        <v>123</v>
      </c>
      <c r="H153">
        <v>14</v>
      </c>
      <c r="L153" t="s">
        <v>14</v>
      </c>
      <c r="M153" t="s">
        <v>18</v>
      </c>
      <c r="N153" t="s">
        <v>23</v>
      </c>
      <c r="O153" t="s">
        <v>134</v>
      </c>
      <c r="P153">
        <v>25.72</v>
      </c>
      <c r="Q153" s="6" t="s">
        <v>37</v>
      </c>
      <c r="R153" s="6" t="s">
        <v>42</v>
      </c>
      <c r="S153" t="s">
        <v>132</v>
      </c>
      <c r="T153" s="7">
        <v>20</v>
      </c>
      <c r="U153" t="s">
        <v>76</v>
      </c>
      <c r="V153" s="7">
        <v>0.2</v>
      </c>
      <c r="W153">
        <v>20</v>
      </c>
      <c r="X153" t="s">
        <v>97</v>
      </c>
      <c r="Y153" t="s">
        <v>195</v>
      </c>
      <c r="Z153">
        <v>81.3</v>
      </c>
      <c r="AA153">
        <v>0.69</v>
      </c>
    </row>
    <row r="154" spans="1:29" x14ac:dyDescent="0.3">
      <c r="A154">
        <v>15</v>
      </c>
      <c r="B154">
        <v>153</v>
      </c>
      <c r="C154" t="str">
        <f ca="1">LOOKUP(A154,RQ3_reference!A$2:A$199,RQ3_reference!B$2:B$196)</f>
        <v>Nyende_2022_Effect</v>
      </c>
      <c r="D154" t="s">
        <v>152</v>
      </c>
      <c r="E154" t="s">
        <v>121</v>
      </c>
      <c r="F154" t="s">
        <v>122</v>
      </c>
      <c r="G154" t="s">
        <v>123</v>
      </c>
      <c r="H154">
        <v>14</v>
      </c>
      <c r="L154" t="s">
        <v>14</v>
      </c>
      <c r="M154" t="s">
        <v>18</v>
      </c>
      <c r="N154" t="s">
        <v>23</v>
      </c>
      <c r="O154" t="s">
        <v>134</v>
      </c>
      <c r="P154">
        <v>26.38</v>
      </c>
      <c r="Q154" s="6" t="s">
        <v>37</v>
      </c>
      <c r="R154" s="6" t="s">
        <v>42</v>
      </c>
      <c r="S154" t="s">
        <v>133</v>
      </c>
      <c r="T154" s="7">
        <v>20</v>
      </c>
      <c r="U154" t="s">
        <v>76</v>
      </c>
      <c r="V154" s="7">
        <v>0.2</v>
      </c>
      <c r="W154">
        <v>20</v>
      </c>
      <c r="X154" t="s">
        <v>97</v>
      </c>
      <c r="Y154" t="s">
        <v>195</v>
      </c>
      <c r="Z154">
        <v>81.7</v>
      </c>
      <c r="AA154">
        <v>0.69</v>
      </c>
    </row>
    <row r="155" spans="1:29" x14ac:dyDescent="0.3">
      <c r="A155">
        <v>15</v>
      </c>
      <c r="B155">
        <v>154</v>
      </c>
      <c r="C155" t="str">
        <f ca="1">LOOKUP(A155,RQ3_reference!A$2:A$199,RQ3_reference!B$2:B$196)</f>
        <v>Nyende_2022_Effect</v>
      </c>
      <c r="D155" t="s">
        <v>152</v>
      </c>
      <c r="E155" t="s">
        <v>121</v>
      </c>
      <c r="F155" t="s">
        <v>122</v>
      </c>
      <c r="G155" t="s">
        <v>123</v>
      </c>
      <c r="H155">
        <v>14</v>
      </c>
      <c r="L155" t="s">
        <v>14</v>
      </c>
      <c r="M155" t="s">
        <v>18</v>
      </c>
      <c r="N155" t="s">
        <v>23</v>
      </c>
      <c r="O155" t="s">
        <v>134</v>
      </c>
      <c r="P155">
        <v>26.36</v>
      </c>
      <c r="Q155" s="6" t="s">
        <v>37</v>
      </c>
      <c r="R155" s="6" t="s">
        <v>42</v>
      </c>
      <c r="S155" t="s">
        <v>135</v>
      </c>
      <c r="T155" s="7">
        <v>20</v>
      </c>
      <c r="U155" t="s">
        <v>76</v>
      </c>
      <c r="V155" s="7">
        <v>0.2</v>
      </c>
      <c r="W155">
        <v>20</v>
      </c>
      <c r="X155" t="s">
        <v>97</v>
      </c>
      <c r="Y155" t="s">
        <v>195</v>
      </c>
      <c r="Z155">
        <v>80.900000000000006</v>
      </c>
      <c r="AA155">
        <v>0.69</v>
      </c>
    </row>
    <row r="156" spans="1:29" x14ac:dyDescent="0.3">
      <c r="A156">
        <v>15</v>
      </c>
      <c r="B156">
        <v>155</v>
      </c>
      <c r="C156" t="str">
        <f ca="1">LOOKUP(A156,RQ3_reference!A$2:A$199,RQ3_reference!B$2:B$196)</f>
        <v>Nyende_2022_Effect</v>
      </c>
      <c r="D156" t="s">
        <v>152</v>
      </c>
      <c r="E156" t="s">
        <v>121</v>
      </c>
      <c r="F156" t="s">
        <v>122</v>
      </c>
      <c r="G156" t="s">
        <v>123</v>
      </c>
      <c r="H156">
        <v>14</v>
      </c>
      <c r="L156" t="s">
        <v>14</v>
      </c>
      <c r="M156" t="s">
        <v>18</v>
      </c>
      <c r="N156" t="s">
        <v>23</v>
      </c>
      <c r="O156" t="s">
        <v>134</v>
      </c>
      <c r="P156">
        <v>26.26</v>
      </c>
      <c r="Q156" s="6" t="s">
        <v>37</v>
      </c>
      <c r="R156" s="6" t="s">
        <v>42</v>
      </c>
      <c r="S156" t="s">
        <v>136</v>
      </c>
      <c r="T156" s="7">
        <v>20</v>
      </c>
      <c r="U156" t="s">
        <v>76</v>
      </c>
      <c r="V156" s="7">
        <v>0.2</v>
      </c>
      <c r="W156">
        <v>20</v>
      </c>
      <c r="X156" t="s">
        <v>97</v>
      </c>
      <c r="Y156" t="s">
        <v>195</v>
      </c>
      <c r="Z156">
        <v>80.099999999999994</v>
      </c>
      <c r="AA156">
        <v>0.69</v>
      </c>
    </row>
    <row r="157" spans="1:29" x14ac:dyDescent="0.3">
      <c r="A157">
        <v>15</v>
      </c>
      <c r="B157">
        <v>156</v>
      </c>
      <c r="C157" t="str">
        <f ca="1">LOOKUP(A157,RQ3_reference!A$2:A$199,RQ3_reference!B$2:B$196)</f>
        <v>Nyende_2022_Effect</v>
      </c>
      <c r="D157" t="s">
        <v>152</v>
      </c>
      <c r="E157" t="s">
        <v>121</v>
      </c>
      <c r="F157" t="s">
        <v>122</v>
      </c>
      <c r="G157" t="s">
        <v>123</v>
      </c>
      <c r="H157">
        <v>14</v>
      </c>
      <c r="L157" t="s">
        <v>14</v>
      </c>
      <c r="M157" t="s">
        <v>18</v>
      </c>
      <c r="N157" t="s">
        <v>23</v>
      </c>
      <c r="O157" t="s">
        <v>137</v>
      </c>
      <c r="P157">
        <v>26.63</v>
      </c>
      <c r="Q157" s="6" t="s">
        <v>37</v>
      </c>
      <c r="R157" s="6" t="s">
        <v>42</v>
      </c>
      <c r="S157" t="s">
        <v>131</v>
      </c>
      <c r="T157" s="7">
        <v>30</v>
      </c>
      <c r="U157" t="s">
        <v>76</v>
      </c>
      <c r="V157" s="7">
        <v>0.3</v>
      </c>
      <c r="W157">
        <v>20</v>
      </c>
      <c r="X157" t="s">
        <v>97</v>
      </c>
      <c r="Y157" t="s">
        <v>195</v>
      </c>
      <c r="Z157">
        <v>83.7</v>
      </c>
      <c r="AA157">
        <v>0.55000000000000004</v>
      </c>
    </row>
    <row r="158" spans="1:29" x14ac:dyDescent="0.3">
      <c r="A158">
        <v>15</v>
      </c>
      <c r="B158">
        <v>157</v>
      </c>
      <c r="C158" t="str">
        <f ca="1">LOOKUP(A158,RQ3_reference!A$2:A$199,RQ3_reference!B$2:B$196)</f>
        <v>Nyende_2022_Effect</v>
      </c>
      <c r="D158" t="s">
        <v>152</v>
      </c>
      <c r="E158" t="s">
        <v>121</v>
      </c>
      <c r="F158" t="s">
        <v>122</v>
      </c>
      <c r="G158" t="s">
        <v>123</v>
      </c>
      <c r="H158">
        <v>14</v>
      </c>
      <c r="L158" t="s">
        <v>14</v>
      </c>
      <c r="M158" t="s">
        <v>18</v>
      </c>
      <c r="N158" t="s">
        <v>23</v>
      </c>
      <c r="O158" t="s">
        <v>137</v>
      </c>
      <c r="P158">
        <v>26.33</v>
      </c>
      <c r="Q158" s="6" t="s">
        <v>37</v>
      </c>
      <c r="R158" s="6" t="s">
        <v>42</v>
      </c>
      <c r="S158" t="s">
        <v>132</v>
      </c>
      <c r="T158" s="7">
        <v>30</v>
      </c>
      <c r="U158" t="s">
        <v>76</v>
      </c>
      <c r="V158" s="7">
        <v>0.3</v>
      </c>
      <c r="W158">
        <v>20</v>
      </c>
      <c r="X158" t="s">
        <v>97</v>
      </c>
      <c r="Y158" t="s">
        <v>195</v>
      </c>
      <c r="Z158">
        <v>84.5</v>
      </c>
      <c r="AA158">
        <v>0.55000000000000004</v>
      </c>
    </row>
    <row r="159" spans="1:29" x14ac:dyDescent="0.3">
      <c r="A159">
        <v>15</v>
      </c>
      <c r="B159">
        <v>158</v>
      </c>
      <c r="C159" t="str">
        <f ca="1">LOOKUP(A159,RQ3_reference!A$2:A$199,RQ3_reference!B$2:B$196)</f>
        <v>Nyende_2022_Effect</v>
      </c>
      <c r="D159" t="s">
        <v>152</v>
      </c>
      <c r="E159" t="s">
        <v>121</v>
      </c>
      <c r="F159" t="s">
        <v>122</v>
      </c>
      <c r="G159" t="s">
        <v>123</v>
      </c>
      <c r="H159">
        <v>14</v>
      </c>
      <c r="L159" t="s">
        <v>14</v>
      </c>
      <c r="M159" t="s">
        <v>18</v>
      </c>
      <c r="N159" t="s">
        <v>23</v>
      </c>
      <c r="O159" t="s">
        <v>137</v>
      </c>
      <c r="P159">
        <v>27.46</v>
      </c>
      <c r="Q159" s="6" t="s">
        <v>37</v>
      </c>
      <c r="R159" s="6" t="s">
        <v>42</v>
      </c>
      <c r="S159" t="s">
        <v>133</v>
      </c>
      <c r="T159" s="7">
        <v>30</v>
      </c>
      <c r="U159" t="s">
        <v>76</v>
      </c>
      <c r="V159" s="7">
        <v>0.3</v>
      </c>
      <c r="W159">
        <v>20</v>
      </c>
      <c r="X159" t="s">
        <v>97</v>
      </c>
      <c r="Y159" t="s">
        <v>195</v>
      </c>
      <c r="Z159">
        <v>85.3</v>
      </c>
      <c r="AA159">
        <v>0.55000000000000004</v>
      </c>
    </row>
    <row r="160" spans="1:29" x14ac:dyDescent="0.3">
      <c r="A160">
        <v>15</v>
      </c>
      <c r="B160">
        <v>159</v>
      </c>
      <c r="C160" t="str">
        <f ca="1">LOOKUP(A160,RQ3_reference!A$2:A$199,RQ3_reference!B$2:B$196)</f>
        <v>Nyende_2022_Effect</v>
      </c>
      <c r="D160" t="s">
        <v>152</v>
      </c>
      <c r="E160" t="s">
        <v>121</v>
      </c>
      <c r="F160" t="s">
        <v>122</v>
      </c>
      <c r="G160" t="s">
        <v>123</v>
      </c>
      <c r="H160">
        <v>14</v>
      </c>
      <c r="L160" t="s">
        <v>14</v>
      </c>
      <c r="M160" t="s">
        <v>18</v>
      </c>
      <c r="N160" t="s">
        <v>23</v>
      </c>
      <c r="O160" t="s">
        <v>137</v>
      </c>
      <c r="P160">
        <v>26.98</v>
      </c>
      <c r="Q160" s="6" t="s">
        <v>37</v>
      </c>
      <c r="R160" s="6" t="s">
        <v>42</v>
      </c>
      <c r="S160" t="s">
        <v>135</v>
      </c>
      <c r="T160" s="7">
        <v>30</v>
      </c>
      <c r="U160" t="s">
        <v>76</v>
      </c>
      <c r="V160" s="7">
        <v>0.3</v>
      </c>
      <c r="W160">
        <v>20</v>
      </c>
      <c r="X160" t="s">
        <v>97</v>
      </c>
      <c r="Y160" t="s">
        <v>195</v>
      </c>
      <c r="Z160">
        <v>82.5</v>
      </c>
      <c r="AA160">
        <v>0.55000000000000004</v>
      </c>
    </row>
    <row r="161" spans="1:29" x14ac:dyDescent="0.3">
      <c r="A161">
        <v>15</v>
      </c>
      <c r="B161">
        <v>160</v>
      </c>
      <c r="C161" t="str">
        <f ca="1">LOOKUP(A161,RQ3_reference!A$2:A$199,RQ3_reference!B$2:B$196)</f>
        <v>Nyende_2022_Effect</v>
      </c>
      <c r="D161" t="s">
        <v>152</v>
      </c>
      <c r="E161" t="s">
        <v>121</v>
      </c>
      <c r="F161" t="s">
        <v>122</v>
      </c>
      <c r="G161" t="s">
        <v>123</v>
      </c>
      <c r="H161">
        <v>14</v>
      </c>
      <c r="L161" t="s">
        <v>14</v>
      </c>
      <c r="M161" t="s">
        <v>18</v>
      </c>
      <c r="N161" t="s">
        <v>23</v>
      </c>
      <c r="O161" t="s">
        <v>137</v>
      </c>
      <c r="P161">
        <v>25.92</v>
      </c>
      <c r="Q161" s="6" t="s">
        <v>37</v>
      </c>
      <c r="R161" s="6" t="s">
        <v>42</v>
      </c>
      <c r="S161" t="s">
        <v>136</v>
      </c>
      <c r="T161" s="7">
        <v>30</v>
      </c>
      <c r="U161" t="s">
        <v>76</v>
      </c>
      <c r="V161" s="7">
        <v>0.3</v>
      </c>
      <c r="W161">
        <v>20</v>
      </c>
      <c r="X161" t="s">
        <v>97</v>
      </c>
      <c r="Y161" t="s">
        <v>195</v>
      </c>
      <c r="Z161">
        <v>81.3</v>
      </c>
      <c r="AA161">
        <v>0.55000000000000004</v>
      </c>
    </row>
    <row r="162" spans="1:29" x14ac:dyDescent="0.3">
      <c r="A162">
        <v>15</v>
      </c>
      <c r="B162">
        <v>161</v>
      </c>
      <c r="C162" t="str">
        <f ca="1">LOOKUP(A162,RQ3_reference!A$2:A$199,RQ3_reference!B$2:B$196)</f>
        <v>Nyende_2022_Effect</v>
      </c>
      <c r="D162" t="s">
        <v>152</v>
      </c>
      <c r="E162" t="s">
        <v>121</v>
      </c>
      <c r="F162" t="s">
        <v>122</v>
      </c>
      <c r="G162" t="s">
        <v>123</v>
      </c>
      <c r="H162">
        <v>14</v>
      </c>
      <c r="L162" t="s">
        <v>14</v>
      </c>
      <c r="M162" t="s">
        <v>18</v>
      </c>
      <c r="N162" t="s">
        <v>23</v>
      </c>
      <c r="O162" t="s">
        <v>134</v>
      </c>
      <c r="P162">
        <v>26.76</v>
      </c>
      <c r="Q162" s="6" t="s">
        <v>37</v>
      </c>
      <c r="R162" s="6" t="s">
        <v>42</v>
      </c>
      <c r="S162" t="s">
        <v>131</v>
      </c>
      <c r="T162" s="7">
        <v>20</v>
      </c>
      <c r="U162" t="s">
        <v>76</v>
      </c>
      <c r="V162" s="7">
        <v>0.2</v>
      </c>
      <c r="W162">
        <v>20</v>
      </c>
      <c r="X162" t="s">
        <v>198</v>
      </c>
      <c r="Y162" t="s">
        <v>25</v>
      </c>
      <c r="Z162">
        <f>1/AVERAGE(0.849,0.763)</f>
        <v>1.2406947890818858</v>
      </c>
      <c r="AA162">
        <f>SQRT((20*0.035^2+20*0.027^2+10*(0.849-0.763)^2)/40)</f>
        <v>5.3160135440008041E-2</v>
      </c>
    </row>
    <row r="163" spans="1:29" x14ac:dyDescent="0.3">
      <c r="A163">
        <v>15</v>
      </c>
      <c r="B163">
        <v>162</v>
      </c>
      <c r="C163" t="str">
        <f ca="1">LOOKUP(A163,RQ3_reference!A$2:A$199,RQ3_reference!B$2:B$196)</f>
        <v>Nyende_2022_Effect</v>
      </c>
      <c r="D163" t="s">
        <v>152</v>
      </c>
      <c r="E163" t="s">
        <v>121</v>
      </c>
      <c r="F163" t="s">
        <v>122</v>
      </c>
      <c r="G163" t="s">
        <v>123</v>
      </c>
      <c r="H163">
        <v>14</v>
      </c>
      <c r="L163" t="s">
        <v>14</v>
      </c>
      <c r="M163" t="s">
        <v>18</v>
      </c>
      <c r="N163" t="s">
        <v>23</v>
      </c>
      <c r="O163" t="s">
        <v>134</v>
      </c>
      <c r="P163">
        <v>25.72</v>
      </c>
      <c r="Q163" s="6" t="s">
        <v>37</v>
      </c>
      <c r="R163" s="6" t="s">
        <v>42</v>
      </c>
      <c r="S163" t="s">
        <v>132</v>
      </c>
      <c r="T163" s="7">
        <v>20</v>
      </c>
      <c r="U163" t="s">
        <v>76</v>
      </c>
      <c r="V163" s="7">
        <v>0.2</v>
      </c>
      <c r="W163">
        <v>20</v>
      </c>
      <c r="X163" t="s">
        <v>198</v>
      </c>
      <c r="Y163" t="s">
        <v>25</v>
      </c>
      <c r="Z163">
        <f>1/AVERAGE(0.851,0.748)</f>
        <v>1.2507817385866167</v>
      </c>
      <c r="AA163">
        <f>SQRT((20*0.035^2+20*0.027^2+10*(0.851-0.748)^2)/40)</f>
        <v>6.0243256884069597E-2</v>
      </c>
    </row>
    <row r="164" spans="1:29" x14ac:dyDescent="0.3">
      <c r="A164">
        <v>15</v>
      </c>
      <c r="B164">
        <v>163</v>
      </c>
      <c r="C164" t="str">
        <f ca="1">LOOKUP(A164,RQ3_reference!A$2:A$199,RQ3_reference!B$2:B$196)</f>
        <v>Nyende_2022_Effect</v>
      </c>
      <c r="D164" t="s">
        <v>152</v>
      </c>
      <c r="E164" t="s">
        <v>121</v>
      </c>
      <c r="F164" t="s">
        <v>122</v>
      </c>
      <c r="G164" t="s">
        <v>123</v>
      </c>
      <c r="H164">
        <v>14</v>
      </c>
      <c r="L164" t="s">
        <v>14</v>
      </c>
      <c r="M164" t="s">
        <v>18</v>
      </c>
      <c r="N164" t="s">
        <v>23</v>
      </c>
      <c r="O164" t="s">
        <v>134</v>
      </c>
      <c r="P164">
        <v>26.38</v>
      </c>
      <c r="Q164" s="6" t="s">
        <v>37</v>
      </c>
      <c r="R164" s="6" t="s">
        <v>42</v>
      </c>
      <c r="S164" t="s">
        <v>133</v>
      </c>
      <c r="T164" s="7">
        <v>20</v>
      </c>
      <c r="U164" t="s">
        <v>76</v>
      </c>
      <c r="V164" s="7">
        <v>0.2</v>
      </c>
      <c r="W164">
        <v>20</v>
      </c>
      <c r="X164" t="s">
        <v>198</v>
      </c>
      <c r="Y164" t="s">
        <v>25</v>
      </c>
      <c r="Z164">
        <f>1/AVERAGE(0.866,0.738)</f>
        <v>1.2468827930174562</v>
      </c>
      <c r="AA164">
        <f>SQRT((20*0.035^2+20*0.027^2+10*(0.866-0.738)^2)/40)</f>
        <v>7.122499561249547E-2</v>
      </c>
    </row>
    <row r="165" spans="1:29" x14ac:dyDescent="0.3">
      <c r="A165">
        <v>15</v>
      </c>
      <c r="B165">
        <v>164</v>
      </c>
      <c r="C165" t="str">
        <f ca="1">LOOKUP(A165,RQ3_reference!A$2:A$199,RQ3_reference!B$2:B$196)</f>
        <v>Nyende_2022_Effect</v>
      </c>
      <c r="D165" t="s">
        <v>152</v>
      </c>
      <c r="E165" t="s">
        <v>121</v>
      </c>
      <c r="F165" t="s">
        <v>122</v>
      </c>
      <c r="G165" t="s">
        <v>123</v>
      </c>
      <c r="H165">
        <v>14</v>
      </c>
      <c r="L165" t="s">
        <v>14</v>
      </c>
      <c r="M165" t="s">
        <v>18</v>
      </c>
      <c r="N165" t="s">
        <v>23</v>
      </c>
      <c r="O165" t="s">
        <v>134</v>
      </c>
      <c r="P165">
        <v>26.36</v>
      </c>
      <c r="Q165" s="6" t="s">
        <v>37</v>
      </c>
      <c r="R165" s="6" t="s">
        <v>42</v>
      </c>
      <c r="S165" t="s">
        <v>135</v>
      </c>
      <c r="T165" s="7">
        <v>20</v>
      </c>
      <c r="U165" t="s">
        <v>76</v>
      </c>
      <c r="V165" s="7">
        <v>0.2</v>
      </c>
      <c r="W165">
        <v>20</v>
      </c>
      <c r="X165" t="s">
        <v>198</v>
      </c>
      <c r="Y165" t="s">
        <v>25</v>
      </c>
      <c r="Z165">
        <f>1/AVERAGE(0.864,0.749)</f>
        <v>1.2399256044637321</v>
      </c>
      <c r="AA165">
        <f>SQRT((20*0.035^2+20*0.027^2+10*(0.822-0.756)^2)/40)</f>
        <v>4.5453272709454026E-2</v>
      </c>
    </row>
    <row r="166" spans="1:29" x14ac:dyDescent="0.3">
      <c r="A166">
        <v>15</v>
      </c>
      <c r="B166">
        <v>165</v>
      </c>
      <c r="C166" t="str">
        <f ca="1">LOOKUP(A166,RQ3_reference!A$2:A$199,RQ3_reference!B$2:B$196)</f>
        <v>Nyende_2022_Effect</v>
      </c>
      <c r="D166" t="s">
        <v>152</v>
      </c>
      <c r="E166" t="s">
        <v>121</v>
      </c>
      <c r="F166" t="s">
        <v>122</v>
      </c>
      <c r="G166" t="s">
        <v>123</v>
      </c>
      <c r="H166">
        <v>14</v>
      </c>
      <c r="L166" t="s">
        <v>14</v>
      </c>
      <c r="M166" t="s">
        <v>18</v>
      </c>
      <c r="N166" t="s">
        <v>23</v>
      </c>
      <c r="O166" t="s">
        <v>134</v>
      </c>
      <c r="P166">
        <v>26.26</v>
      </c>
      <c r="Q166" s="6" t="s">
        <v>37</v>
      </c>
      <c r="R166" s="6" t="s">
        <v>42</v>
      </c>
      <c r="S166" t="s">
        <v>136</v>
      </c>
      <c r="T166" s="7">
        <v>20</v>
      </c>
      <c r="U166" t="s">
        <v>76</v>
      </c>
      <c r="V166" s="7">
        <v>0.2</v>
      </c>
      <c r="W166">
        <v>20</v>
      </c>
      <c r="X166" t="s">
        <v>198</v>
      </c>
      <c r="Y166" t="s">
        <v>25</v>
      </c>
      <c r="Z166">
        <f>1/AVERAGE(0.822,0.756)</f>
        <v>1.267427122940431</v>
      </c>
      <c r="AA166">
        <f t="shared" ref="AA166" si="16">SQRT((20*0.035^2+20*0.027^2+10*(0.849-0.763)^2)/40)</f>
        <v>5.3160135440008041E-2</v>
      </c>
    </row>
    <row r="167" spans="1:29" x14ac:dyDescent="0.3">
      <c r="A167">
        <v>15</v>
      </c>
      <c r="B167">
        <v>166</v>
      </c>
      <c r="C167" t="str">
        <f ca="1">LOOKUP(A167,RQ3_reference!A$2:A$199,RQ3_reference!B$2:B$196)</f>
        <v>Nyende_2022_Effect</v>
      </c>
      <c r="D167" t="s">
        <v>152</v>
      </c>
      <c r="E167" t="s">
        <v>121</v>
      </c>
      <c r="F167" t="s">
        <v>122</v>
      </c>
      <c r="G167" t="s">
        <v>123</v>
      </c>
      <c r="H167">
        <v>14</v>
      </c>
      <c r="L167" t="s">
        <v>14</v>
      </c>
      <c r="M167" t="s">
        <v>18</v>
      </c>
      <c r="N167" t="s">
        <v>23</v>
      </c>
      <c r="O167" t="s">
        <v>137</v>
      </c>
      <c r="P167">
        <v>26.63</v>
      </c>
      <c r="Q167" s="6" t="s">
        <v>37</v>
      </c>
      <c r="R167" s="6" t="s">
        <v>42</v>
      </c>
      <c r="S167" t="s">
        <v>131</v>
      </c>
      <c r="T167" s="7">
        <v>30</v>
      </c>
      <c r="U167" t="s">
        <v>76</v>
      </c>
      <c r="V167" s="7">
        <v>0.3</v>
      </c>
      <c r="W167">
        <v>20</v>
      </c>
      <c r="X167" t="s">
        <v>198</v>
      </c>
      <c r="Y167" t="s">
        <v>25</v>
      </c>
      <c r="Z167">
        <f>1/AVERAGE(0.678,0.661)</f>
        <v>1.4936519790888723</v>
      </c>
      <c r="AA167">
        <f>SQRT((20*0.021^2+20*0.022^2+10*(0.678-0.661)^2)/40)</f>
        <v>2.3124662159694359E-2</v>
      </c>
    </row>
    <row r="168" spans="1:29" x14ac:dyDescent="0.3">
      <c r="A168">
        <v>15</v>
      </c>
      <c r="B168">
        <v>167</v>
      </c>
      <c r="C168" t="str">
        <f ca="1">LOOKUP(A168,RQ3_reference!A$2:A$199,RQ3_reference!B$2:B$196)</f>
        <v>Nyende_2022_Effect</v>
      </c>
      <c r="D168" t="s">
        <v>152</v>
      </c>
      <c r="E168" t="s">
        <v>121</v>
      </c>
      <c r="F168" t="s">
        <v>122</v>
      </c>
      <c r="G168" t="s">
        <v>123</v>
      </c>
      <c r="H168">
        <v>14</v>
      </c>
      <c r="L168" t="s">
        <v>14</v>
      </c>
      <c r="M168" t="s">
        <v>18</v>
      </c>
      <c r="N168" t="s">
        <v>23</v>
      </c>
      <c r="O168" t="s">
        <v>137</v>
      </c>
      <c r="P168">
        <v>26.33</v>
      </c>
      <c r="Q168" s="6" t="s">
        <v>37</v>
      </c>
      <c r="R168" s="6" t="s">
        <v>42</v>
      </c>
      <c r="S168" t="s">
        <v>132</v>
      </c>
      <c r="T168" s="7">
        <v>30</v>
      </c>
      <c r="U168" t="s">
        <v>76</v>
      </c>
      <c r="V168" s="7">
        <v>0.3</v>
      </c>
      <c r="W168">
        <v>20</v>
      </c>
      <c r="X168" t="s">
        <v>198</v>
      </c>
      <c r="Y168" t="s">
        <v>25</v>
      </c>
      <c r="Z168">
        <f>1/AVERAGE(0.632,0.697)</f>
        <v>1.5048908954100828</v>
      </c>
      <c r="AA168">
        <f>SQRT((20*0.021^2+20*0.022^2+10*(0.697-0.632)^2)/40)</f>
        <v>3.8971143170299719E-2</v>
      </c>
    </row>
    <row r="169" spans="1:29" x14ac:dyDescent="0.3">
      <c r="A169">
        <v>15</v>
      </c>
      <c r="B169">
        <v>168</v>
      </c>
      <c r="C169" t="str">
        <f ca="1">LOOKUP(A169,RQ3_reference!A$2:A$199,RQ3_reference!B$2:B$196)</f>
        <v>Nyende_2022_Effect</v>
      </c>
      <c r="D169" t="s">
        <v>152</v>
      </c>
      <c r="E169" t="s">
        <v>121</v>
      </c>
      <c r="F169" t="s">
        <v>122</v>
      </c>
      <c r="G169" t="s">
        <v>123</v>
      </c>
      <c r="H169">
        <v>14</v>
      </c>
      <c r="L169" t="s">
        <v>14</v>
      </c>
      <c r="M169" t="s">
        <v>18</v>
      </c>
      <c r="N169" t="s">
        <v>23</v>
      </c>
      <c r="O169" t="s">
        <v>137</v>
      </c>
      <c r="P169">
        <v>27.46</v>
      </c>
      <c r="Q169" s="6" t="s">
        <v>37</v>
      </c>
      <c r="R169" s="6" t="s">
        <v>42</v>
      </c>
      <c r="S169" t="s">
        <v>133</v>
      </c>
      <c r="T169" s="7">
        <v>30</v>
      </c>
      <c r="U169" t="s">
        <v>76</v>
      </c>
      <c r="V169" s="7">
        <v>0.3</v>
      </c>
      <c r="W169">
        <v>20</v>
      </c>
      <c r="X169" t="s">
        <v>198</v>
      </c>
      <c r="Y169" t="s">
        <v>25</v>
      </c>
      <c r="Z169">
        <f>1/AVERAGE(0.712,0.623)</f>
        <v>1.4981273408239701</v>
      </c>
      <c r="AA169">
        <f>SQRT((20*0.021^2+20*0.022^2+10*(0.712-0.623)^2)/40)</f>
        <v>4.9424184363527933E-2</v>
      </c>
    </row>
    <row r="170" spans="1:29" x14ac:dyDescent="0.3">
      <c r="A170">
        <v>15</v>
      </c>
      <c r="B170">
        <v>169</v>
      </c>
      <c r="C170" t="str">
        <f ca="1">LOOKUP(A170,RQ3_reference!A$2:A$199,RQ3_reference!B$2:B$196)</f>
        <v>Nyende_2022_Effect</v>
      </c>
      <c r="D170" t="s">
        <v>152</v>
      </c>
      <c r="E170" t="s">
        <v>121</v>
      </c>
      <c r="F170" t="s">
        <v>122</v>
      </c>
      <c r="G170" t="s">
        <v>123</v>
      </c>
      <c r="H170">
        <v>14</v>
      </c>
      <c r="L170" t="s">
        <v>14</v>
      </c>
      <c r="M170" t="s">
        <v>18</v>
      </c>
      <c r="N170" t="s">
        <v>23</v>
      </c>
      <c r="O170" t="s">
        <v>137</v>
      </c>
      <c r="P170">
        <v>26.98</v>
      </c>
      <c r="Q170" s="6" t="s">
        <v>37</v>
      </c>
      <c r="R170" s="6" t="s">
        <v>42</v>
      </c>
      <c r="S170" t="s">
        <v>135</v>
      </c>
      <c r="T170" s="7">
        <v>30</v>
      </c>
      <c r="U170" t="s">
        <v>76</v>
      </c>
      <c r="V170" s="7">
        <v>0.3</v>
      </c>
      <c r="W170">
        <v>20</v>
      </c>
      <c r="X170" t="s">
        <v>198</v>
      </c>
      <c r="Y170" t="s">
        <v>25</v>
      </c>
      <c r="Z170">
        <f>1/AVERAGE(0.687,0.639)</f>
        <v>1.5082956259426847</v>
      </c>
      <c r="AA170">
        <f>SQRT((20*0.021^2+20*0.022^2+10*(0.687-0.639)^2)/40)</f>
        <v>3.2225766088644053E-2</v>
      </c>
    </row>
    <row r="171" spans="1:29" x14ac:dyDescent="0.3">
      <c r="A171">
        <v>15</v>
      </c>
      <c r="B171">
        <v>170</v>
      </c>
      <c r="C171" t="str">
        <f ca="1">LOOKUP(A171,RQ3_reference!A$2:A$199,RQ3_reference!B$2:B$196)</f>
        <v>Nyende_2022_Effect</v>
      </c>
      <c r="D171" t="s">
        <v>152</v>
      </c>
      <c r="E171" t="s">
        <v>121</v>
      </c>
      <c r="F171" t="s">
        <v>122</v>
      </c>
      <c r="G171" t="s">
        <v>123</v>
      </c>
      <c r="H171">
        <v>14</v>
      </c>
      <c r="L171" t="s">
        <v>14</v>
      </c>
      <c r="M171" t="s">
        <v>18</v>
      </c>
      <c r="N171" t="s">
        <v>23</v>
      </c>
      <c r="O171" t="s">
        <v>137</v>
      </c>
      <c r="P171">
        <v>25.92</v>
      </c>
      <c r="Q171" s="6" t="s">
        <v>37</v>
      </c>
      <c r="R171" s="6" t="s">
        <v>42</v>
      </c>
      <c r="S171" t="s">
        <v>136</v>
      </c>
      <c r="T171" s="7">
        <v>30</v>
      </c>
      <c r="U171" t="s">
        <v>76</v>
      </c>
      <c r="V171" s="7">
        <v>0.3</v>
      </c>
      <c r="W171">
        <v>20</v>
      </c>
      <c r="X171" t="s">
        <v>198</v>
      </c>
      <c r="Y171" t="s">
        <v>25</v>
      </c>
      <c r="Z171">
        <f>1/AVERAGE(0.677,0.64)</f>
        <v>1.518602885345482</v>
      </c>
      <c r="AA171">
        <f>SQRT((20*0.021^2+20*0.022^2+10*(0.64-0.697)^2)/40)</f>
        <v>3.5703641270884386E-2</v>
      </c>
    </row>
    <row r="172" spans="1:29" x14ac:dyDescent="0.3">
      <c r="A172">
        <v>16</v>
      </c>
      <c r="B172">
        <v>171</v>
      </c>
      <c r="C172" t="str">
        <f ca="1">LOOKUP(A172,RQ3_reference!A$2:A$199,RQ3_reference!B$2:B$196)</f>
        <v>Perz_2022_Amylase</v>
      </c>
      <c r="D172" t="s">
        <v>72</v>
      </c>
      <c r="E172" t="s">
        <v>189</v>
      </c>
      <c r="H172">
        <v>16</v>
      </c>
      <c r="L172" t="s">
        <v>14</v>
      </c>
      <c r="M172" t="s">
        <v>18</v>
      </c>
      <c r="N172" t="s">
        <v>23</v>
      </c>
      <c r="P172">
        <v>21.8</v>
      </c>
      <c r="Q172" s="6" t="s">
        <v>92</v>
      </c>
      <c r="R172" s="6" t="s">
        <v>42</v>
      </c>
      <c r="S172" t="s">
        <v>153</v>
      </c>
      <c r="T172" s="7">
        <v>50</v>
      </c>
      <c r="U172" t="s">
        <v>207</v>
      </c>
      <c r="V172" s="7">
        <v>0.5</v>
      </c>
      <c r="W172">
        <v>28</v>
      </c>
      <c r="X172" t="s">
        <v>97</v>
      </c>
      <c r="Y172" t="s">
        <v>195</v>
      </c>
      <c r="Z172">
        <v>90.3</v>
      </c>
      <c r="AA172">
        <v>1.02</v>
      </c>
    </row>
    <row r="173" spans="1:29" x14ac:dyDescent="0.3">
      <c r="A173">
        <v>16</v>
      </c>
      <c r="B173">
        <v>172</v>
      </c>
      <c r="C173" t="str">
        <f ca="1">LOOKUP(A173,RQ3_reference!A$2:A$199,RQ3_reference!B$2:B$196)</f>
        <v>Perz_2022_Amylase</v>
      </c>
      <c r="D173" t="s">
        <v>72</v>
      </c>
      <c r="E173" t="s">
        <v>189</v>
      </c>
      <c r="H173">
        <v>16</v>
      </c>
      <c r="L173" t="s">
        <v>14</v>
      </c>
      <c r="M173" t="s">
        <v>18</v>
      </c>
      <c r="N173" t="s">
        <v>23</v>
      </c>
      <c r="P173">
        <v>21.8</v>
      </c>
      <c r="Q173" s="6" t="s">
        <v>92</v>
      </c>
      <c r="R173" s="6" t="s">
        <v>42</v>
      </c>
      <c r="S173" t="s">
        <v>153</v>
      </c>
      <c r="T173" s="7">
        <v>50</v>
      </c>
      <c r="U173" t="s">
        <v>207</v>
      </c>
      <c r="V173" s="7">
        <v>0.5</v>
      </c>
      <c r="W173">
        <v>28</v>
      </c>
      <c r="X173" t="s">
        <v>97</v>
      </c>
      <c r="Y173" t="s">
        <v>195</v>
      </c>
      <c r="Z173">
        <v>94</v>
      </c>
      <c r="AA173">
        <v>1.02</v>
      </c>
    </row>
    <row r="174" spans="1:29" x14ac:dyDescent="0.3">
      <c r="A174">
        <v>17</v>
      </c>
      <c r="B174">
        <v>173</v>
      </c>
      <c r="C174" t="str">
        <f ca="1">LOOKUP(A174,RQ3_reference!A$2:A$199,RQ3_reference!B$2:B$196)</f>
        <v>Cho_2019_effect</v>
      </c>
      <c r="D174" t="s">
        <v>152</v>
      </c>
      <c r="E174" t="s">
        <v>180</v>
      </c>
      <c r="H174">
        <v>12</v>
      </c>
      <c r="L174" t="s">
        <v>14</v>
      </c>
      <c r="M174" t="s">
        <v>18</v>
      </c>
      <c r="N174" t="s">
        <v>23</v>
      </c>
      <c r="O174" t="s">
        <v>154</v>
      </c>
      <c r="P174">
        <v>28.44</v>
      </c>
      <c r="Q174" s="6" t="s">
        <v>92</v>
      </c>
      <c r="R174" s="6" t="s">
        <v>42</v>
      </c>
      <c r="S174" t="s">
        <v>157</v>
      </c>
      <c r="T174" s="7">
        <v>12</v>
      </c>
      <c r="U174" t="s">
        <v>207</v>
      </c>
      <c r="V174" s="7">
        <v>0.25</v>
      </c>
      <c r="W174">
        <v>112</v>
      </c>
      <c r="X174" t="s">
        <v>208</v>
      </c>
      <c r="Y174" t="s">
        <v>209</v>
      </c>
      <c r="Z174">
        <f>0.02179</f>
        <v>2.179E-2</v>
      </c>
      <c r="AA174">
        <v>6.0999999999999997E-4</v>
      </c>
      <c r="AB174">
        <v>2.29E-2</v>
      </c>
      <c r="AC174">
        <v>6.0999999999999997E-4</v>
      </c>
    </row>
    <row r="175" spans="1:29" x14ac:dyDescent="0.3">
      <c r="A175">
        <v>17</v>
      </c>
      <c r="B175">
        <v>174</v>
      </c>
      <c r="C175" t="str">
        <f ca="1">LOOKUP(A175,RQ3_reference!A$2:A$199,RQ3_reference!B$2:B$196)</f>
        <v>Cho_2019_effect</v>
      </c>
      <c r="D175" t="s">
        <v>152</v>
      </c>
      <c r="E175" t="s">
        <v>180</v>
      </c>
      <c r="H175">
        <v>12</v>
      </c>
      <c r="L175" t="s">
        <v>14</v>
      </c>
      <c r="M175" t="s">
        <v>18</v>
      </c>
      <c r="N175" t="s">
        <v>23</v>
      </c>
      <c r="O175" t="s">
        <v>154</v>
      </c>
      <c r="P175">
        <v>28.44</v>
      </c>
      <c r="Q175" s="6" t="s">
        <v>92</v>
      </c>
      <c r="R175" s="6" t="s">
        <v>42</v>
      </c>
      <c r="S175" t="s">
        <v>158</v>
      </c>
      <c r="T175" s="7">
        <v>12</v>
      </c>
      <c r="U175" t="s">
        <v>207</v>
      </c>
      <c r="V175" s="7">
        <v>0.25</v>
      </c>
      <c r="W175">
        <v>112</v>
      </c>
      <c r="X175" t="s">
        <v>208</v>
      </c>
      <c r="Y175" t="s">
        <v>209</v>
      </c>
      <c r="Z175">
        <v>2.2169999999999999E-2</v>
      </c>
      <c r="AA175">
        <v>6.0999999999999997E-4</v>
      </c>
      <c r="AB175">
        <v>2.29E-2</v>
      </c>
      <c r="AC175">
        <v>6.0999999999999997E-4</v>
      </c>
    </row>
    <row r="176" spans="1:29" x14ac:dyDescent="0.3">
      <c r="A176">
        <v>17</v>
      </c>
      <c r="B176">
        <v>175</v>
      </c>
      <c r="C176" t="str">
        <f ca="1">LOOKUP(A176,RQ3_reference!A$2:A$199,RQ3_reference!B$2:B$196)</f>
        <v>Cho_2019_effect</v>
      </c>
      <c r="D176" t="s">
        <v>152</v>
      </c>
      <c r="E176" t="s">
        <v>180</v>
      </c>
      <c r="H176">
        <v>12</v>
      </c>
      <c r="L176" t="s">
        <v>14</v>
      </c>
      <c r="M176" t="s">
        <v>18</v>
      </c>
      <c r="N176" t="s">
        <v>23</v>
      </c>
      <c r="O176" t="s">
        <v>154</v>
      </c>
      <c r="P176">
        <v>28.44</v>
      </c>
      <c r="Q176" s="6" t="s">
        <v>92</v>
      </c>
      <c r="R176" s="6" t="s">
        <v>42</v>
      </c>
      <c r="S176" t="s">
        <v>159</v>
      </c>
      <c r="T176" s="7">
        <v>12</v>
      </c>
      <c r="U176" t="s">
        <v>207</v>
      </c>
      <c r="V176" s="7">
        <v>0.25</v>
      </c>
      <c r="W176">
        <v>112</v>
      </c>
      <c r="X176" t="s">
        <v>208</v>
      </c>
      <c r="Y176" t="s">
        <v>209</v>
      </c>
      <c r="Z176">
        <v>2.283E-2</v>
      </c>
      <c r="AA176">
        <v>6.0999999999999997E-4</v>
      </c>
      <c r="AB176">
        <v>2.29E-2</v>
      </c>
      <c r="AC176">
        <v>6.0999999999999997E-4</v>
      </c>
    </row>
    <row r="177" spans="1:29" x14ac:dyDescent="0.3">
      <c r="A177">
        <v>17</v>
      </c>
      <c r="B177">
        <v>176</v>
      </c>
      <c r="C177" t="str">
        <f ca="1">LOOKUP(A177,RQ3_reference!A$2:A$199,RQ3_reference!B$2:B$196)</f>
        <v>Cho_2019_effect</v>
      </c>
      <c r="D177" t="s">
        <v>152</v>
      </c>
      <c r="E177" t="s">
        <v>180</v>
      </c>
      <c r="H177">
        <v>12</v>
      </c>
      <c r="L177" t="s">
        <v>14</v>
      </c>
      <c r="M177" t="s">
        <v>18</v>
      </c>
      <c r="N177" t="s">
        <v>23</v>
      </c>
      <c r="O177" t="s">
        <v>154</v>
      </c>
      <c r="P177">
        <v>28.44</v>
      </c>
      <c r="Q177" s="6" t="s">
        <v>92</v>
      </c>
      <c r="R177" s="6" t="s">
        <v>42</v>
      </c>
      <c r="S177" t="s">
        <v>136</v>
      </c>
      <c r="T177" s="7">
        <v>12</v>
      </c>
      <c r="U177" t="s">
        <v>207</v>
      </c>
      <c r="V177" s="7">
        <v>0.25</v>
      </c>
      <c r="W177">
        <v>112</v>
      </c>
      <c r="X177" t="s">
        <v>208</v>
      </c>
      <c r="Y177" t="s">
        <v>209</v>
      </c>
      <c r="Z177">
        <v>2.1989999999999999E-2</v>
      </c>
      <c r="AA177">
        <v>6.0999999999999997E-4</v>
      </c>
      <c r="AB177">
        <v>2.29E-2</v>
      </c>
      <c r="AC177">
        <v>6.0999999999999997E-4</v>
      </c>
    </row>
    <row r="178" spans="1:29" x14ac:dyDescent="0.3">
      <c r="A178">
        <v>17</v>
      </c>
      <c r="B178">
        <v>177</v>
      </c>
      <c r="C178" t="str">
        <f ca="1">LOOKUP(A178,RQ3_reference!A$2:A$199,RQ3_reference!B$2:B$196)</f>
        <v>Cho_2019_effect</v>
      </c>
      <c r="D178" t="s">
        <v>152</v>
      </c>
      <c r="E178" t="s">
        <v>180</v>
      </c>
      <c r="H178">
        <v>12</v>
      </c>
      <c r="L178" t="s">
        <v>14</v>
      </c>
      <c r="M178" t="s">
        <v>18</v>
      </c>
      <c r="N178" t="s">
        <v>23</v>
      </c>
      <c r="O178" t="s">
        <v>154</v>
      </c>
      <c r="P178">
        <v>28.44</v>
      </c>
      <c r="Q178" s="6" t="s">
        <v>92</v>
      </c>
      <c r="R178" s="6" t="s">
        <v>42</v>
      </c>
      <c r="S178" t="s">
        <v>161</v>
      </c>
      <c r="T178" s="7">
        <v>12</v>
      </c>
      <c r="U178" t="s">
        <v>207</v>
      </c>
      <c r="V178" s="7">
        <v>0.25</v>
      </c>
      <c r="W178">
        <f>56*4</f>
        <v>224</v>
      </c>
      <c r="X178" t="s">
        <v>208</v>
      </c>
      <c r="Y178" t="s">
        <v>209</v>
      </c>
      <c r="Z178">
        <v>2.2259999999999999E-2</v>
      </c>
      <c r="AA178">
        <v>5.2999999999999998E-4</v>
      </c>
      <c r="AB178">
        <v>2.29E-2</v>
      </c>
      <c r="AC178">
        <v>5.2999999999999998E-4</v>
      </c>
    </row>
    <row r="179" spans="1:29" x14ac:dyDescent="0.3">
      <c r="A179">
        <v>17</v>
      </c>
      <c r="B179">
        <v>178</v>
      </c>
      <c r="C179" t="str">
        <f ca="1">LOOKUP(A179,RQ3_reference!A$2:A$199,RQ3_reference!B$2:B$196)</f>
        <v>Cho_2019_effect</v>
      </c>
      <c r="D179" t="s">
        <v>152</v>
      </c>
      <c r="E179" t="s">
        <v>180</v>
      </c>
      <c r="H179">
        <v>12</v>
      </c>
      <c r="L179" t="s">
        <v>14</v>
      </c>
      <c r="M179" t="s">
        <v>18</v>
      </c>
      <c r="N179" t="s">
        <v>23</v>
      </c>
      <c r="O179" t="s">
        <v>154</v>
      </c>
      <c r="P179">
        <v>28.44</v>
      </c>
      <c r="Q179" s="6" t="s">
        <v>92</v>
      </c>
      <c r="R179" s="6" t="s">
        <v>42</v>
      </c>
      <c r="S179" t="s">
        <v>160</v>
      </c>
      <c r="T179" s="7">
        <v>12</v>
      </c>
      <c r="U179" t="s">
        <v>207</v>
      </c>
      <c r="V179" s="7">
        <v>0.25</v>
      </c>
      <c r="W179">
        <f>56*4</f>
        <v>224</v>
      </c>
      <c r="X179" t="s">
        <v>208</v>
      </c>
      <c r="Y179" t="s">
        <v>209</v>
      </c>
      <c r="Z179">
        <v>2.213E-2</v>
      </c>
      <c r="AA179">
        <v>5.2999999999999998E-4</v>
      </c>
      <c r="AB179">
        <v>2.29E-2</v>
      </c>
      <c r="AC179">
        <v>5.2999999999999998E-4</v>
      </c>
    </row>
    <row r="180" spans="1:29" x14ac:dyDescent="0.3">
      <c r="A180">
        <v>17</v>
      </c>
      <c r="B180">
        <v>179</v>
      </c>
      <c r="C180" t="str">
        <f ca="1">LOOKUP(A180,RQ3_reference!A$2:A$199,RQ3_reference!B$2:B$196)</f>
        <v>Cho_2019_effect</v>
      </c>
      <c r="D180" t="s">
        <v>152</v>
      </c>
      <c r="E180" t="s">
        <v>180</v>
      </c>
      <c r="H180">
        <v>12</v>
      </c>
      <c r="L180" t="s">
        <v>14</v>
      </c>
      <c r="M180" t="s">
        <v>18</v>
      </c>
      <c r="N180" t="s">
        <v>23</v>
      </c>
      <c r="O180" t="s">
        <v>155</v>
      </c>
      <c r="P180">
        <v>24.56</v>
      </c>
      <c r="Q180" s="6" t="s">
        <v>92</v>
      </c>
      <c r="R180" s="6" t="s">
        <v>42</v>
      </c>
      <c r="S180" t="s">
        <v>157</v>
      </c>
      <c r="T180" s="7">
        <v>24</v>
      </c>
      <c r="U180" t="s">
        <v>76</v>
      </c>
      <c r="V180" s="7">
        <v>0.5</v>
      </c>
      <c r="W180">
        <v>112</v>
      </c>
      <c r="X180" t="s">
        <v>208</v>
      </c>
      <c r="Y180" t="s">
        <v>209</v>
      </c>
      <c r="Z180">
        <v>7.0169999999999996E-2</v>
      </c>
      <c r="AA180">
        <v>1.5299999999999999E-3</v>
      </c>
      <c r="AB180">
        <v>7.2819999999999996E-2</v>
      </c>
      <c r="AC180">
        <v>1.5299999999999999E-3</v>
      </c>
    </row>
    <row r="181" spans="1:29" x14ac:dyDescent="0.3">
      <c r="A181">
        <v>17</v>
      </c>
      <c r="B181">
        <v>180</v>
      </c>
      <c r="C181" t="str">
        <f ca="1">LOOKUP(A181,RQ3_reference!A$2:A$199,RQ3_reference!B$2:B$196)</f>
        <v>Cho_2019_effect</v>
      </c>
      <c r="D181" t="s">
        <v>152</v>
      </c>
      <c r="E181" t="s">
        <v>180</v>
      </c>
      <c r="H181">
        <v>12</v>
      </c>
      <c r="L181" t="s">
        <v>14</v>
      </c>
      <c r="M181" t="s">
        <v>18</v>
      </c>
      <c r="N181" t="s">
        <v>23</v>
      </c>
      <c r="O181" t="s">
        <v>155</v>
      </c>
      <c r="P181">
        <v>24.56</v>
      </c>
      <c r="Q181" s="6" t="s">
        <v>92</v>
      </c>
      <c r="R181" s="6" t="s">
        <v>42</v>
      </c>
      <c r="S181" t="s">
        <v>158</v>
      </c>
      <c r="T181" s="7">
        <v>24</v>
      </c>
      <c r="U181" t="s">
        <v>76</v>
      </c>
      <c r="V181" s="7">
        <v>0.5</v>
      </c>
      <c r="W181">
        <v>112</v>
      </c>
      <c r="X181" t="s">
        <v>208</v>
      </c>
      <c r="Y181" t="s">
        <v>209</v>
      </c>
      <c r="Z181">
        <v>7.1190000000000003E-2</v>
      </c>
      <c r="AA181">
        <v>1.5299999999999999E-3</v>
      </c>
      <c r="AB181">
        <v>7.2819999999999996E-2</v>
      </c>
      <c r="AC181">
        <v>1.5299999999999999E-3</v>
      </c>
    </row>
    <row r="182" spans="1:29" x14ac:dyDescent="0.3">
      <c r="A182">
        <v>17</v>
      </c>
      <c r="B182">
        <v>181</v>
      </c>
      <c r="C182" t="str">
        <f ca="1">LOOKUP(A182,RQ3_reference!A$2:A$199,RQ3_reference!B$2:B$196)</f>
        <v>Cho_2019_effect</v>
      </c>
      <c r="D182" t="s">
        <v>152</v>
      </c>
      <c r="E182" t="s">
        <v>180</v>
      </c>
      <c r="H182">
        <v>12</v>
      </c>
      <c r="L182" t="s">
        <v>14</v>
      </c>
      <c r="M182" t="s">
        <v>18</v>
      </c>
      <c r="N182" t="s">
        <v>23</v>
      </c>
      <c r="O182" t="s">
        <v>155</v>
      </c>
      <c r="P182">
        <v>24.56</v>
      </c>
      <c r="Q182" s="6" t="s">
        <v>92</v>
      </c>
      <c r="R182" s="6" t="s">
        <v>42</v>
      </c>
      <c r="S182" t="s">
        <v>159</v>
      </c>
      <c r="T182" s="7">
        <v>24</v>
      </c>
      <c r="U182" t="s">
        <v>76</v>
      </c>
      <c r="V182" s="7">
        <v>0.5</v>
      </c>
      <c r="W182">
        <v>112</v>
      </c>
      <c r="X182" t="s">
        <v>208</v>
      </c>
      <c r="Y182" t="s">
        <v>209</v>
      </c>
      <c r="Z182">
        <v>7.288E-2</v>
      </c>
      <c r="AA182">
        <v>1.5299999999999999E-3</v>
      </c>
      <c r="AB182">
        <v>7.2819999999999996E-2</v>
      </c>
      <c r="AC182">
        <v>1.5299999999999999E-3</v>
      </c>
    </row>
    <row r="183" spans="1:29" x14ac:dyDescent="0.3">
      <c r="A183">
        <v>17</v>
      </c>
      <c r="B183">
        <v>182</v>
      </c>
      <c r="C183" t="str">
        <f ca="1">LOOKUP(A183,RQ3_reference!A$2:A$199,RQ3_reference!B$2:B$196)</f>
        <v>Cho_2019_effect</v>
      </c>
      <c r="D183" t="s">
        <v>152</v>
      </c>
      <c r="E183" t="s">
        <v>180</v>
      </c>
      <c r="H183">
        <v>12</v>
      </c>
      <c r="L183" t="s">
        <v>14</v>
      </c>
      <c r="M183" t="s">
        <v>18</v>
      </c>
      <c r="N183" t="s">
        <v>23</v>
      </c>
      <c r="O183" t="s">
        <v>155</v>
      </c>
      <c r="P183">
        <v>24.56</v>
      </c>
      <c r="Q183" s="6" t="s">
        <v>92</v>
      </c>
      <c r="R183" s="6" t="s">
        <v>42</v>
      </c>
      <c r="S183" t="s">
        <v>136</v>
      </c>
      <c r="T183" s="7">
        <v>24</v>
      </c>
      <c r="U183" t="s">
        <v>76</v>
      </c>
      <c r="V183" s="7">
        <v>0.5</v>
      </c>
      <c r="W183">
        <v>112</v>
      </c>
      <c r="X183" t="s">
        <v>208</v>
      </c>
      <c r="Y183" t="s">
        <v>209</v>
      </c>
      <c r="Z183">
        <v>6.8970000000000004E-2</v>
      </c>
      <c r="AA183">
        <v>1.5299999999999999E-3</v>
      </c>
      <c r="AB183">
        <v>7.2819999999999996E-2</v>
      </c>
      <c r="AC183">
        <v>1.5299999999999999E-3</v>
      </c>
    </row>
    <row r="184" spans="1:29" x14ac:dyDescent="0.3">
      <c r="A184">
        <v>17</v>
      </c>
      <c r="B184">
        <v>183</v>
      </c>
      <c r="C184" t="str">
        <f ca="1">LOOKUP(A184,RQ3_reference!A$2:A$199,RQ3_reference!B$2:B$196)</f>
        <v>Cho_2019_effect</v>
      </c>
      <c r="D184" t="s">
        <v>152</v>
      </c>
      <c r="E184" t="s">
        <v>180</v>
      </c>
      <c r="H184">
        <v>12</v>
      </c>
      <c r="L184" t="s">
        <v>14</v>
      </c>
      <c r="M184" t="s">
        <v>18</v>
      </c>
      <c r="N184" t="s">
        <v>23</v>
      </c>
      <c r="O184" t="s">
        <v>155</v>
      </c>
      <c r="P184">
        <v>24.56</v>
      </c>
      <c r="Q184" s="6" t="s">
        <v>92</v>
      </c>
      <c r="R184" s="6" t="s">
        <v>42</v>
      </c>
      <c r="S184" t="s">
        <v>161</v>
      </c>
      <c r="T184" s="7">
        <v>24</v>
      </c>
      <c r="U184" t="s">
        <v>76</v>
      </c>
      <c r="V184" s="7">
        <v>0.5</v>
      </c>
      <c r="W184">
        <f>56*4</f>
        <v>224</v>
      </c>
      <c r="X184" t="s">
        <v>208</v>
      </c>
      <c r="Y184" t="s">
        <v>209</v>
      </c>
      <c r="Z184">
        <v>7.1029999999999996E-2</v>
      </c>
      <c r="AA184">
        <v>1.14E-3</v>
      </c>
      <c r="AB184">
        <v>7.2819999999999996E-2</v>
      </c>
      <c r="AC184">
        <v>1.14E-3</v>
      </c>
    </row>
    <row r="185" spans="1:29" x14ac:dyDescent="0.3">
      <c r="A185">
        <v>17</v>
      </c>
      <c r="B185">
        <v>184</v>
      </c>
      <c r="C185" t="str">
        <f ca="1">LOOKUP(A185,RQ3_reference!A$2:A$199,RQ3_reference!B$2:B$196)</f>
        <v>Cho_2019_effect</v>
      </c>
      <c r="D185" t="s">
        <v>152</v>
      </c>
      <c r="E185" t="s">
        <v>180</v>
      </c>
      <c r="H185">
        <v>12</v>
      </c>
      <c r="L185" t="s">
        <v>14</v>
      </c>
      <c r="M185" t="s">
        <v>18</v>
      </c>
      <c r="N185" t="s">
        <v>23</v>
      </c>
      <c r="O185" t="s">
        <v>155</v>
      </c>
      <c r="P185">
        <v>22.66</v>
      </c>
      <c r="Q185" s="6" t="s">
        <v>92</v>
      </c>
      <c r="R185" s="6" t="s">
        <v>42</v>
      </c>
      <c r="S185" t="s">
        <v>160</v>
      </c>
      <c r="T185" s="7">
        <v>24</v>
      </c>
      <c r="U185" t="s">
        <v>76</v>
      </c>
      <c r="V185" s="7">
        <v>0.5</v>
      </c>
      <c r="W185">
        <f>56*4</f>
        <v>224</v>
      </c>
      <c r="X185" t="s">
        <v>208</v>
      </c>
      <c r="Y185" t="s">
        <v>209</v>
      </c>
      <c r="Z185">
        <v>7.0569999999999994E-2</v>
      </c>
      <c r="AA185">
        <v>1.14E-3</v>
      </c>
      <c r="AB185">
        <v>7.2819999999999996E-2</v>
      </c>
      <c r="AC185">
        <v>1.14E-3</v>
      </c>
    </row>
    <row r="186" spans="1:29" x14ac:dyDescent="0.3">
      <c r="A186">
        <v>17</v>
      </c>
      <c r="B186">
        <v>185</v>
      </c>
      <c r="C186" t="str">
        <f ca="1">LOOKUP(A186,RQ3_reference!A$2:A$199,RQ3_reference!B$2:B$196)</f>
        <v>Cho_2019_effect</v>
      </c>
      <c r="D186" t="s">
        <v>152</v>
      </c>
      <c r="E186" t="s">
        <v>180</v>
      </c>
      <c r="H186">
        <v>12</v>
      </c>
      <c r="L186" t="s">
        <v>14</v>
      </c>
      <c r="M186" t="s">
        <v>18</v>
      </c>
      <c r="N186" t="s">
        <v>23</v>
      </c>
      <c r="O186" t="s">
        <v>156</v>
      </c>
      <c r="P186">
        <v>22.66</v>
      </c>
      <c r="Q186" s="6" t="s">
        <v>92</v>
      </c>
      <c r="R186" s="6" t="s">
        <v>42</v>
      </c>
      <c r="S186" t="s">
        <v>157</v>
      </c>
      <c r="T186" s="7">
        <v>36</v>
      </c>
      <c r="U186" t="s">
        <v>77</v>
      </c>
      <c r="V186" s="7">
        <v>0.75</v>
      </c>
      <c r="W186">
        <v>112</v>
      </c>
      <c r="X186" t="s">
        <v>208</v>
      </c>
      <c r="Y186" t="s">
        <v>209</v>
      </c>
      <c r="Z186">
        <v>7.0480000000000001E-2</v>
      </c>
      <c r="AA186">
        <v>5.4299999999999999E-3</v>
      </c>
      <c r="AB186">
        <v>8.362E-2</v>
      </c>
      <c r="AC186">
        <v>6.3380000000000006E-2</v>
      </c>
    </row>
    <row r="187" spans="1:29" x14ac:dyDescent="0.3">
      <c r="A187">
        <v>17</v>
      </c>
      <c r="B187">
        <v>186</v>
      </c>
      <c r="C187" t="str">
        <f ca="1">LOOKUP(A187,RQ3_reference!A$2:A$199,RQ3_reference!B$2:B$196)</f>
        <v>Cho_2019_effect</v>
      </c>
      <c r="D187" t="s">
        <v>152</v>
      </c>
      <c r="E187" t="s">
        <v>180</v>
      </c>
      <c r="H187">
        <v>12</v>
      </c>
      <c r="L187" t="s">
        <v>14</v>
      </c>
      <c r="M187" t="s">
        <v>18</v>
      </c>
      <c r="N187" t="s">
        <v>23</v>
      </c>
      <c r="O187" t="s">
        <v>156</v>
      </c>
      <c r="P187">
        <v>22.66</v>
      </c>
      <c r="Q187" s="6" t="s">
        <v>92</v>
      </c>
      <c r="R187" s="6" t="s">
        <v>42</v>
      </c>
      <c r="S187" t="s">
        <v>158</v>
      </c>
      <c r="T187" s="7">
        <v>36</v>
      </c>
      <c r="U187" t="s">
        <v>77</v>
      </c>
      <c r="V187" s="7">
        <v>0.75</v>
      </c>
      <c r="W187">
        <v>112</v>
      </c>
      <c r="X187" t="s">
        <v>208</v>
      </c>
      <c r="Y187" t="s">
        <v>209</v>
      </c>
      <c r="Z187">
        <v>7.1760000000000004E-2</v>
      </c>
      <c r="AA187">
        <v>5.4299999999999999E-3</v>
      </c>
      <c r="AB187">
        <v>8.362E-2</v>
      </c>
      <c r="AC187">
        <v>6.3380000000000006E-2</v>
      </c>
    </row>
    <row r="188" spans="1:29" x14ac:dyDescent="0.3">
      <c r="A188">
        <v>17</v>
      </c>
      <c r="B188">
        <v>187</v>
      </c>
      <c r="C188" t="str">
        <f ca="1">LOOKUP(A188,RQ3_reference!A$2:A$199,RQ3_reference!B$2:B$196)</f>
        <v>Cho_2019_effect</v>
      </c>
      <c r="D188" t="s">
        <v>152</v>
      </c>
      <c r="E188" t="s">
        <v>180</v>
      </c>
      <c r="H188">
        <v>12</v>
      </c>
      <c r="L188" t="s">
        <v>14</v>
      </c>
      <c r="M188" t="s">
        <v>18</v>
      </c>
      <c r="N188" t="s">
        <v>23</v>
      </c>
      <c r="O188" t="s">
        <v>156</v>
      </c>
      <c r="P188">
        <v>22.66</v>
      </c>
      <c r="Q188" s="6" t="s">
        <v>92</v>
      </c>
      <c r="R188" s="6" t="s">
        <v>42</v>
      </c>
      <c r="S188" t="s">
        <v>159</v>
      </c>
      <c r="T188" s="7">
        <v>36</v>
      </c>
      <c r="U188" t="s">
        <v>77</v>
      </c>
      <c r="V188" s="7">
        <v>0.75</v>
      </c>
      <c r="W188">
        <v>112</v>
      </c>
      <c r="X188" t="s">
        <v>208</v>
      </c>
      <c r="Y188" t="s">
        <v>209</v>
      </c>
      <c r="Z188">
        <v>7.9070000000000001E-2</v>
      </c>
      <c r="AA188">
        <v>5.4299999999999999E-3</v>
      </c>
      <c r="AB188">
        <v>8.362E-2</v>
      </c>
      <c r="AC188">
        <v>6.3380000000000006E-2</v>
      </c>
    </row>
    <row r="189" spans="1:29" x14ac:dyDescent="0.3">
      <c r="A189">
        <v>17</v>
      </c>
      <c r="B189">
        <v>188</v>
      </c>
      <c r="C189" t="str">
        <f ca="1">LOOKUP(A189,RQ3_reference!A$2:A$199,RQ3_reference!B$2:B$196)</f>
        <v>Cho_2019_effect</v>
      </c>
      <c r="D189" t="s">
        <v>152</v>
      </c>
      <c r="E189" t="s">
        <v>180</v>
      </c>
      <c r="H189">
        <v>12</v>
      </c>
      <c r="L189" t="s">
        <v>14</v>
      </c>
      <c r="M189" t="s">
        <v>18</v>
      </c>
      <c r="N189" t="s">
        <v>23</v>
      </c>
      <c r="O189" t="s">
        <v>156</v>
      </c>
      <c r="P189">
        <v>22.66</v>
      </c>
      <c r="Q189" s="6" t="s">
        <v>92</v>
      </c>
      <c r="R189" s="6" t="s">
        <v>42</v>
      </c>
      <c r="S189" t="s">
        <v>136</v>
      </c>
      <c r="T189" s="7">
        <v>36</v>
      </c>
      <c r="U189" t="s">
        <v>77</v>
      </c>
      <c r="V189" s="7">
        <v>0.75</v>
      </c>
      <c r="W189">
        <v>112</v>
      </c>
      <c r="X189" t="s">
        <v>208</v>
      </c>
      <c r="Y189" t="s">
        <v>209</v>
      </c>
      <c r="Z189">
        <v>6.6470000000000001E-2</v>
      </c>
      <c r="AA189">
        <v>5.4299999999999999E-3</v>
      </c>
      <c r="AB189">
        <v>8.362E-2</v>
      </c>
      <c r="AC189">
        <v>6.3380000000000006E-2</v>
      </c>
    </row>
    <row r="190" spans="1:29" x14ac:dyDescent="0.3">
      <c r="A190">
        <v>17</v>
      </c>
      <c r="B190">
        <v>189</v>
      </c>
      <c r="C190" t="str">
        <f ca="1">LOOKUP(A190,RQ3_reference!A$2:A$199,RQ3_reference!B$2:B$196)</f>
        <v>Cho_2019_effect</v>
      </c>
      <c r="D190" t="s">
        <v>152</v>
      </c>
      <c r="E190" t="s">
        <v>180</v>
      </c>
      <c r="H190">
        <v>12</v>
      </c>
      <c r="L190" t="s">
        <v>14</v>
      </c>
      <c r="M190" t="s">
        <v>18</v>
      </c>
      <c r="N190" t="s">
        <v>23</v>
      </c>
      <c r="O190" t="s">
        <v>156</v>
      </c>
      <c r="P190">
        <v>22.66</v>
      </c>
      <c r="Q190" s="6" t="s">
        <v>92</v>
      </c>
      <c r="R190" s="6" t="s">
        <v>42</v>
      </c>
      <c r="S190" t="s">
        <v>161</v>
      </c>
      <c r="T190" s="7">
        <v>36</v>
      </c>
      <c r="U190" t="s">
        <v>77</v>
      </c>
      <c r="V190" s="7">
        <v>0.75</v>
      </c>
      <c r="W190">
        <f>56*4</f>
        <v>224</v>
      </c>
      <c r="X190" t="s">
        <v>208</v>
      </c>
      <c r="Y190" t="s">
        <v>209</v>
      </c>
      <c r="Z190">
        <v>7.1550000000000002E-2</v>
      </c>
      <c r="AA190">
        <v>4.5700000000000003E-3</v>
      </c>
      <c r="AB190">
        <v>8.362E-2</v>
      </c>
      <c r="AC190">
        <v>5.4190000000000002E-2</v>
      </c>
    </row>
    <row r="191" spans="1:29" x14ac:dyDescent="0.3">
      <c r="A191">
        <v>17</v>
      </c>
      <c r="B191">
        <v>190</v>
      </c>
      <c r="C191" t="str">
        <f ca="1">LOOKUP(A191,RQ3_reference!A$2:A$199,RQ3_reference!B$2:B$196)</f>
        <v>Cho_2019_effect</v>
      </c>
      <c r="D191" t="s">
        <v>152</v>
      </c>
      <c r="E191" t="s">
        <v>180</v>
      </c>
      <c r="H191">
        <v>12</v>
      </c>
      <c r="L191" t="s">
        <v>14</v>
      </c>
      <c r="M191" t="s">
        <v>18</v>
      </c>
      <c r="N191" t="s">
        <v>23</v>
      </c>
      <c r="O191" t="s">
        <v>156</v>
      </c>
      <c r="P191">
        <v>22.66</v>
      </c>
      <c r="Q191" s="6" t="s">
        <v>92</v>
      </c>
      <c r="R191" s="6" t="s">
        <v>42</v>
      </c>
      <c r="S191" t="s">
        <v>160</v>
      </c>
      <c r="T191" s="7">
        <v>36</v>
      </c>
      <c r="U191" t="s">
        <v>77</v>
      </c>
      <c r="V191" s="7">
        <v>0.75</v>
      </c>
      <c r="W191">
        <f>56*4</f>
        <v>224</v>
      </c>
      <c r="X191" t="s">
        <v>208</v>
      </c>
      <c r="Y191" t="s">
        <v>209</v>
      </c>
      <c r="Z191">
        <v>7.2330000000000005E-2</v>
      </c>
      <c r="AA191">
        <v>4.5700000000000003E-3</v>
      </c>
      <c r="AB191">
        <v>8.362E-2</v>
      </c>
      <c r="AC191">
        <v>5.4190000000000002E-2</v>
      </c>
    </row>
    <row r="192" spans="1:29" x14ac:dyDescent="0.3">
      <c r="A192">
        <v>17</v>
      </c>
      <c r="B192">
        <v>191</v>
      </c>
      <c r="C192" t="str">
        <f ca="1">LOOKUP(A192,RQ3_reference!A$2:A$199,RQ3_reference!B$2:B$196)</f>
        <v>Cho_2019_effect</v>
      </c>
      <c r="D192" t="s">
        <v>152</v>
      </c>
      <c r="E192" t="s">
        <v>180</v>
      </c>
      <c r="H192">
        <v>12</v>
      </c>
      <c r="L192" t="s">
        <v>14</v>
      </c>
      <c r="M192" t="s">
        <v>18</v>
      </c>
      <c r="N192" t="s">
        <v>23</v>
      </c>
      <c r="O192" t="s">
        <v>154</v>
      </c>
      <c r="P192">
        <v>28.44</v>
      </c>
      <c r="Q192" s="6" t="s">
        <v>92</v>
      </c>
      <c r="R192" s="6" t="s">
        <v>42</v>
      </c>
      <c r="S192" t="s">
        <v>157</v>
      </c>
      <c r="T192" s="7">
        <v>12</v>
      </c>
      <c r="U192" t="s">
        <v>207</v>
      </c>
      <c r="V192" s="7">
        <v>0.25</v>
      </c>
      <c r="W192">
        <v>112</v>
      </c>
      <c r="X192" t="s">
        <v>198</v>
      </c>
      <c r="Y192" t="s">
        <v>25</v>
      </c>
      <c r="Z192">
        <f>1/0.75</f>
        <v>1.3333333333333333</v>
      </c>
      <c r="AB192">
        <f>1/0.77</f>
        <v>1.2987012987012987</v>
      </c>
    </row>
    <row r="193" spans="1:28" x14ac:dyDescent="0.3">
      <c r="A193">
        <v>17</v>
      </c>
      <c r="B193">
        <v>192</v>
      </c>
      <c r="C193" t="str">
        <f ca="1">LOOKUP(A193,RQ3_reference!A$2:A$199,RQ3_reference!B$2:B$196)</f>
        <v>Cho_2019_effect</v>
      </c>
      <c r="D193" t="s">
        <v>152</v>
      </c>
      <c r="E193" t="s">
        <v>180</v>
      </c>
      <c r="H193">
        <v>12</v>
      </c>
      <c r="L193" t="s">
        <v>14</v>
      </c>
      <c r="M193" t="s">
        <v>18</v>
      </c>
      <c r="N193" t="s">
        <v>23</v>
      </c>
      <c r="O193" t="s">
        <v>154</v>
      </c>
      <c r="P193">
        <v>28.44</v>
      </c>
      <c r="Q193" s="6" t="s">
        <v>92</v>
      </c>
      <c r="R193" s="6" t="s">
        <v>42</v>
      </c>
      <c r="S193" t="s">
        <v>158</v>
      </c>
      <c r="T193" s="7">
        <v>12</v>
      </c>
      <c r="U193" t="s">
        <v>207</v>
      </c>
      <c r="V193" s="7">
        <v>0.25</v>
      </c>
      <c r="W193">
        <v>112</v>
      </c>
      <c r="X193" t="s">
        <v>198</v>
      </c>
      <c r="Y193" t="s">
        <v>25</v>
      </c>
      <c r="Z193">
        <f>1/0.74</f>
        <v>1.3513513513513513</v>
      </c>
      <c r="AB193">
        <f t="shared" ref="AB193:AB197" si="17">1/0.77</f>
        <v>1.2987012987012987</v>
      </c>
    </row>
    <row r="194" spans="1:28" x14ac:dyDescent="0.3">
      <c r="A194">
        <v>17</v>
      </c>
      <c r="B194">
        <v>193</v>
      </c>
      <c r="C194" t="str">
        <f ca="1">LOOKUP(A194,RQ3_reference!A$2:A$199,RQ3_reference!B$2:B$196)</f>
        <v>Cho_2019_effect</v>
      </c>
      <c r="D194" t="s">
        <v>152</v>
      </c>
      <c r="E194" t="s">
        <v>180</v>
      </c>
      <c r="H194">
        <v>12</v>
      </c>
      <c r="L194" t="s">
        <v>14</v>
      </c>
      <c r="M194" t="s">
        <v>18</v>
      </c>
      <c r="N194" t="s">
        <v>23</v>
      </c>
      <c r="O194" t="s">
        <v>154</v>
      </c>
      <c r="P194">
        <v>28.44</v>
      </c>
      <c r="Q194" s="6" t="s">
        <v>92</v>
      </c>
      <c r="R194" s="6" t="s">
        <v>42</v>
      </c>
      <c r="S194" t="s">
        <v>159</v>
      </c>
      <c r="T194" s="7">
        <v>12</v>
      </c>
      <c r="U194" t="s">
        <v>207</v>
      </c>
      <c r="V194" s="7">
        <v>0.25</v>
      </c>
      <c r="W194">
        <v>112</v>
      </c>
      <c r="X194" t="s">
        <v>198</v>
      </c>
      <c r="Y194" t="s">
        <v>25</v>
      </c>
      <c r="Z194">
        <f>1/0.75</f>
        <v>1.3333333333333333</v>
      </c>
      <c r="AB194">
        <f t="shared" si="17"/>
        <v>1.2987012987012987</v>
      </c>
    </row>
    <row r="195" spans="1:28" x14ac:dyDescent="0.3">
      <c r="A195">
        <v>17</v>
      </c>
      <c r="B195">
        <v>194</v>
      </c>
      <c r="C195" t="str">
        <f ca="1">LOOKUP(A195,RQ3_reference!A$2:A$199,RQ3_reference!B$2:B$196)</f>
        <v>Cho_2019_effect</v>
      </c>
      <c r="D195" t="s">
        <v>152</v>
      </c>
      <c r="E195" t="s">
        <v>180</v>
      </c>
      <c r="H195">
        <v>12</v>
      </c>
      <c r="L195" t="s">
        <v>14</v>
      </c>
      <c r="M195" t="s">
        <v>18</v>
      </c>
      <c r="N195" t="s">
        <v>23</v>
      </c>
      <c r="O195" t="s">
        <v>154</v>
      </c>
      <c r="P195">
        <v>28.44</v>
      </c>
      <c r="Q195" s="6" t="s">
        <v>92</v>
      </c>
      <c r="R195" s="6" t="s">
        <v>42</v>
      </c>
      <c r="S195" t="s">
        <v>136</v>
      </c>
      <c r="T195" s="7">
        <v>12</v>
      </c>
      <c r="U195" t="s">
        <v>207</v>
      </c>
      <c r="V195" s="7">
        <v>0.25</v>
      </c>
      <c r="W195">
        <v>112</v>
      </c>
      <c r="X195" t="s">
        <v>198</v>
      </c>
      <c r="Y195" t="s">
        <v>25</v>
      </c>
      <c r="Z195">
        <f>1/0.74</f>
        <v>1.3513513513513513</v>
      </c>
      <c r="AB195">
        <f t="shared" si="17"/>
        <v>1.2987012987012987</v>
      </c>
    </row>
    <row r="196" spans="1:28" x14ac:dyDescent="0.3">
      <c r="A196">
        <v>17</v>
      </c>
      <c r="B196">
        <v>195</v>
      </c>
      <c r="C196" t="str">
        <f ca="1">LOOKUP(A196,RQ3_reference!A$2:A$199,RQ3_reference!B$2:B$196)</f>
        <v>Cho_2019_effect</v>
      </c>
      <c r="D196" t="s">
        <v>152</v>
      </c>
      <c r="E196" t="s">
        <v>180</v>
      </c>
      <c r="H196">
        <v>12</v>
      </c>
      <c r="L196" t="s">
        <v>14</v>
      </c>
      <c r="M196" t="s">
        <v>18</v>
      </c>
      <c r="N196" t="s">
        <v>23</v>
      </c>
      <c r="O196" t="s">
        <v>154</v>
      </c>
      <c r="P196">
        <v>28.44</v>
      </c>
      <c r="Q196" s="6" t="s">
        <v>92</v>
      </c>
      <c r="R196" s="6" t="s">
        <v>42</v>
      </c>
      <c r="S196" t="s">
        <v>161</v>
      </c>
      <c r="T196" s="7">
        <v>12</v>
      </c>
      <c r="U196" t="s">
        <v>207</v>
      </c>
      <c r="V196" s="7">
        <v>0.25</v>
      </c>
      <c r="W196">
        <f>56*4</f>
        <v>224</v>
      </c>
      <c r="X196" t="s">
        <v>198</v>
      </c>
      <c r="Y196" t="s">
        <v>25</v>
      </c>
      <c r="Z196">
        <f>1/0.75</f>
        <v>1.3333333333333333</v>
      </c>
      <c r="AB196">
        <f t="shared" si="17"/>
        <v>1.2987012987012987</v>
      </c>
    </row>
    <row r="197" spans="1:28" x14ac:dyDescent="0.3">
      <c r="A197">
        <v>17</v>
      </c>
      <c r="B197">
        <v>196</v>
      </c>
      <c r="C197" t="str">
        <f ca="1">LOOKUP(A197,RQ3_reference!A$2:A$199,RQ3_reference!B$2:B$196)</f>
        <v>Cho_2019_effect</v>
      </c>
      <c r="D197" t="s">
        <v>152</v>
      </c>
      <c r="E197" t="s">
        <v>180</v>
      </c>
      <c r="H197">
        <v>12</v>
      </c>
      <c r="L197" t="s">
        <v>14</v>
      </c>
      <c r="M197" t="s">
        <v>18</v>
      </c>
      <c r="N197" t="s">
        <v>23</v>
      </c>
      <c r="O197" t="s">
        <v>154</v>
      </c>
      <c r="P197">
        <v>28.44</v>
      </c>
      <c r="Q197" s="6" t="s">
        <v>92</v>
      </c>
      <c r="R197" s="6" t="s">
        <v>42</v>
      </c>
      <c r="S197" t="s">
        <v>160</v>
      </c>
      <c r="T197" s="7">
        <v>12</v>
      </c>
      <c r="U197" t="s">
        <v>207</v>
      </c>
      <c r="V197" s="7">
        <v>0.25</v>
      </c>
      <c r="W197">
        <f>56*4</f>
        <v>224</v>
      </c>
      <c r="X197" t="s">
        <v>198</v>
      </c>
      <c r="Y197" t="s">
        <v>25</v>
      </c>
      <c r="Z197">
        <f>1/0.73</f>
        <v>1.3698630136986301</v>
      </c>
      <c r="AB197">
        <f t="shared" si="17"/>
        <v>1.2987012987012987</v>
      </c>
    </row>
    <row r="198" spans="1:28" x14ac:dyDescent="0.3">
      <c r="A198">
        <v>17</v>
      </c>
      <c r="B198">
        <v>197</v>
      </c>
      <c r="C198" t="str">
        <f ca="1">LOOKUP(A198,RQ3_reference!A$2:A$199,RQ3_reference!B$2:B$196)</f>
        <v>Cho_2019_effect</v>
      </c>
      <c r="D198" t="s">
        <v>152</v>
      </c>
      <c r="E198" t="s">
        <v>180</v>
      </c>
      <c r="H198">
        <v>12</v>
      </c>
      <c r="L198" t="s">
        <v>14</v>
      </c>
      <c r="M198" t="s">
        <v>18</v>
      </c>
      <c r="N198" t="s">
        <v>23</v>
      </c>
      <c r="O198" t="s">
        <v>155</v>
      </c>
      <c r="P198">
        <v>24.56</v>
      </c>
      <c r="Q198" s="6" t="s">
        <v>92</v>
      </c>
      <c r="R198" s="6" t="s">
        <v>42</v>
      </c>
      <c r="S198" t="s">
        <v>157</v>
      </c>
      <c r="T198" s="7">
        <v>24</v>
      </c>
      <c r="U198" t="s">
        <v>76</v>
      </c>
      <c r="V198" s="7">
        <v>0.5</v>
      </c>
      <c r="W198">
        <v>112</v>
      </c>
      <c r="X198" t="s">
        <v>198</v>
      </c>
      <c r="Y198" t="s">
        <v>25</v>
      </c>
      <c r="Z198">
        <f>1/0.5</f>
        <v>2</v>
      </c>
      <c r="AB198">
        <f>1/0.55</f>
        <v>1.8181818181818181</v>
      </c>
    </row>
    <row r="199" spans="1:28" x14ac:dyDescent="0.3">
      <c r="A199">
        <v>17</v>
      </c>
      <c r="B199">
        <v>198</v>
      </c>
      <c r="C199" t="str">
        <f ca="1">LOOKUP(A199,RQ3_reference!A$2:A$199,RQ3_reference!B$2:B$196)</f>
        <v>Cho_2019_effect</v>
      </c>
      <c r="D199" t="s">
        <v>152</v>
      </c>
      <c r="E199" t="s">
        <v>180</v>
      </c>
      <c r="H199">
        <v>12</v>
      </c>
      <c r="L199" t="s">
        <v>14</v>
      </c>
      <c r="M199" t="s">
        <v>18</v>
      </c>
      <c r="N199" t="s">
        <v>23</v>
      </c>
      <c r="O199" t="s">
        <v>155</v>
      </c>
      <c r="P199">
        <v>24.56</v>
      </c>
      <c r="Q199" s="6" t="s">
        <v>92</v>
      </c>
      <c r="R199" s="6" t="s">
        <v>42</v>
      </c>
      <c r="S199" t="s">
        <v>158</v>
      </c>
      <c r="T199" s="7">
        <v>24</v>
      </c>
      <c r="U199" t="s">
        <v>76</v>
      </c>
      <c r="V199" s="7">
        <v>0.5</v>
      </c>
      <c r="W199">
        <v>112</v>
      </c>
      <c r="X199" t="s">
        <v>198</v>
      </c>
      <c r="Y199" t="s">
        <v>25</v>
      </c>
      <c r="Z199">
        <f>1/0.53</f>
        <v>1.8867924528301885</v>
      </c>
      <c r="AB199">
        <f t="shared" ref="AB199:AB203" si="18">1/0.55</f>
        <v>1.8181818181818181</v>
      </c>
    </row>
    <row r="200" spans="1:28" x14ac:dyDescent="0.3">
      <c r="A200">
        <v>17</v>
      </c>
      <c r="B200">
        <v>199</v>
      </c>
      <c r="C200" t="str">
        <f ca="1">LOOKUP(A200,RQ3_reference!A$2:A$199,RQ3_reference!B$2:B$196)</f>
        <v>Cho_2019_effect</v>
      </c>
      <c r="D200" t="s">
        <v>152</v>
      </c>
      <c r="E200" t="s">
        <v>180</v>
      </c>
      <c r="H200">
        <v>12</v>
      </c>
      <c r="L200" t="s">
        <v>14</v>
      </c>
      <c r="M200" t="s">
        <v>18</v>
      </c>
      <c r="N200" t="s">
        <v>23</v>
      </c>
      <c r="O200" t="s">
        <v>155</v>
      </c>
      <c r="P200">
        <v>24.56</v>
      </c>
      <c r="Q200" s="6" t="s">
        <v>92</v>
      </c>
      <c r="R200" s="6" t="s">
        <v>42</v>
      </c>
      <c r="S200" t="s">
        <v>159</v>
      </c>
      <c r="T200" s="7">
        <v>24</v>
      </c>
      <c r="U200" t="s">
        <v>76</v>
      </c>
      <c r="V200" s="7">
        <v>0.5</v>
      </c>
      <c r="W200">
        <v>112</v>
      </c>
      <c r="X200" t="s">
        <v>198</v>
      </c>
      <c r="Y200" t="s">
        <v>25</v>
      </c>
      <c r="Z200">
        <f>1/0.53</f>
        <v>1.8867924528301885</v>
      </c>
      <c r="AB200">
        <f t="shared" si="18"/>
        <v>1.8181818181818181</v>
      </c>
    </row>
    <row r="201" spans="1:28" x14ac:dyDescent="0.3">
      <c r="A201">
        <v>17</v>
      </c>
      <c r="B201">
        <v>200</v>
      </c>
      <c r="C201" t="str">
        <f ca="1">LOOKUP(A201,RQ3_reference!A$2:A$199,RQ3_reference!B$2:B$196)</f>
        <v>Cho_2019_effect</v>
      </c>
      <c r="D201" t="s">
        <v>152</v>
      </c>
      <c r="E201" t="s">
        <v>180</v>
      </c>
      <c r="H201">
        <v>12</v>
      </c>
      <c r="L201" t="s">
        <v>14</v>
      </c>
      <c r="M201" t="s">
        <v>18</v>
      </c>
      <c r="N201" t="s">
        <v>23</v>
      </c>
      <c r="O201" t="s">
        <v>155</v>
      </c>
      <c r="P201">
        <v>24.56</v>
      </c>
      <c r="Q201" s="6" t="s">
        <v>92</v>
      </c>
      <c r="R201" s="6" t="s">
        <v>42</v>
      </c>
      <c r="S201" t="s">
        <v>136</v>
      </c>
      <c r="T201" s="7">
        <v>24</v>
      </c>
      <c r="U201" t="s">
        <v>76</v>
      </c>
      <c r="V201" s="7">
        <v>0.5</v>
      </c>
      <c r="W201">
        <v>112</v>
      </c>
      <c r="X201" t="s">
        <v>198</v>
      </c>
      <c r="Y201" t="s">
        <v>25</v>
      </c>
      <c r="Z201">
        <f>1/0.52</f>
        <v>1.9230769230769229</v>
      </c>
      <c r="AB201">
        <f t="shared" si="18"/>
        <v>1.8181818181818181</v>
      </c>
    </row>
    <row r="202" spans="1:28" x14ac:dyDescent="0.3">
      <c r="A202">
        <v>17</v>
      </c>
      <c r="B202">
        <v>201</v>
      </c>
      <c r="C202" t="str">
        <f ca="1">LOOKUP(A202,RQ3_reference!A$2:A$199,RQ3_reference!B$2:B$196)</f>
        <v>Cho_2019_effect</v>
      </c>
      <c r="D202" t="s">
        <v>152</v>
      </c>
      <c r="E202" t="s">
        <v>180</v>
      </c>
      <c r="H202">
        <v>12</v>
      </c>
      <c r="L202" t="s">
        <v>14</v>
      </c>
      <c r="M202" t="s">
        <v>18</v>
      </c>
      <c r="N202" t="s">
        <v>23</v>
      </c>
      <c r="O202" t="s">
        <v>155</v>
      </c>
      <c r="P202">
        <v>24.56</v>
      </c>
      <c r="Q202" s="6" t="s">
        <v>92</v>
      </c>
      <c r="R202" s="6" t="s">
        <v>42</v>
      </c>
      <c r="S202" t="s">
        <v>161</v>
      </c>
      <c r="T202" s="7">
        <v>24</v>
      </c>
      <c r="U202" t="s">
        <v>76</v>
      </c>
      <c r="V202" s="7">
        <v>0.5</v>
      </c>
      <c r="W202">
        <f>56*4</f>
        <v>224</v>
      </c>
      <c r="X202" t="s">
        <v>198</v>
      </c>
      <c r="Y202" t="s">
        <v>25</v>
      </c>
      <c r="Z202">
        <f>1/0.54</f>
        <v>1.8518518518518516</v>
      </c>
      <c r="AB202">
        <f t="shared" si="18"/>
        <v>1.8181818181818181</v>
      </c>
    </row>
    <row r="203" spans="1:28" x14ac:dyDescent="0.3">
      <c r="A203">
        <v>17</v>
      </c>
      <c r="B203">
        <v>202</v>
      </c>
      <c r="C203" t="str">
        <f ca="1">LOOKUP(A203,RQ3_reference!A$2:A$199,RQ3_reference!B$2:B$196)</f>
        <v>Cho_2019_effect</v>
      </c>
      <c r="D203" t="s">
        <v>152</v>
      </c>
      <c r="E203" t="s">
        <v>180</v>
      </c>
      <c r="H203">
        <v>12</v>
      </c>
      <c r="L203" t="s">
        <v>14</v>
      </c>
      <c r="M203" t="s">
        <v>18</v>
      </c>
      <c r="N203" t="s">
        <v>23</v>
      </c>
      <c r="O203" t="s">
        <v>155</v>
      </c>
      <c r="P203">
        <v>22.66</v>
      </c>
      <c r="Q203" s="6" t="s">
        <v>92</v>
      </c>
      <c r="R203" s="6" t="s">
        <v>42</v>
      </c>
      <c r="S203" t="s">
        <v>160</v>
      </c>
      <c r="T203" s="7">
        <v>24</v>
      </c>
      <c r="U203" t="s">
        <v>76</v>
      </c>
      <c r="V203" s="7">
        <v>0.5</v>
      </c>
      <c r="W203">
        <f>56*4</f>
        <v>224</v>
      </c>
      <c r="X203" t="s">
        <v>198</v>
      </c>
      <c r="Y203" t="s">
        <v>25</v>
      </c>
      <c r="Z203">
        <f>1/0.51</f>
        <v>1.9607843137254901</v>
      </c>
      <c r="AB203">
        <f t="shared" si="18"/>
        <v>1.8181818181818181</v>
      </c>
    </row>
    <row r="204" spans="1:28" x14ac:dyDescent="0.3">
      <c r="A204">
        <v>17</v>
      </c>
      <c r="B204">
        <v>203</v>
      </c>
      <c r="C204" t="str">
        <f ca="1">LOOKUP(A204,RQ3_reference!A$2:A$199,RQ3_reference!B$2:B$196)</f>
        <v>Cho_2019_effect</v>
      </c>
      <c r="D204" t="s">
        <v>152</v>
      </c>
      <c r="E204" t="s">
        <v>180</v>
      </c>
      <c r="H204">
        <v>12</v>
      </c>
      <c r="L204" t="s">
        <v>14</v>
      </c>
      <c r="M204" t="s">
        <v>18</v>
      </c>
      <c r="N204" t="s">
        <v>23</v>
      </c>
      <c r="O204" t="s">
        <v>156</v>
      </c>
      <c r="P204">
        <v>22.66</v>
      </c>
      <c r="Q204" s="6" t="s">
        <v>92</v>
      </c>
      <c r="R204" s="6" t="s">
        <v>42</v>
      </c>
      <c r="S204" t="s">
        <v>157</v>
      </c>
      <c r="T204" s="7">
        <v>36</v>
      </c>
      <c r="U204" t="s">
        <v>77</v>
      </c>
      <c r="V204" s="7">
        <v>0.75</v>
      </c>
      <c r="W204">
        <v>112</v>
      </c>
      <c r="X204" t="s">
        <v>198</v>
      </c>
      <c r="Y204" t="s">
        <v>25</v>
      </c>
      <c r="Z204">
        <f>1/0.39</f>
        <v>2.5641025641025639</v>
      </c>
      <c r="AB204">
        <f>1/0.49</f>
        <v>2.0408163265306123</v>
      </c>
    </row>
    <row r="205" spans="1:28" x14ac:dyDescent="0.3">
      <c r="A205">
        <v>17</v>
      </c>
      <c r="B205">
        <v>204</v>
      </c>
      <c r="C205" t="str">
        <f ca="1">LOOKUP(A205,RQ3_reference!A$2:A$199,RQ3_reference!B$2:B$196)</f>
        <v>Cho_2019_effect</v>
      </c>
      <c r="D205" t="s">
        <v>152</v>
      </c>
      <c r="E205" t="s">
        <v>180</v>
      </c>
      <c r="H205">
        <v>12</v>
      </c>
      <c r="L205" t="s">
        <v>14</v>
      </c>
      <c r="M205" t="s">
        <v>18</v>
      </c>
      <c r="N205" t="s">
        <v>23</v>
      </c>
      <c r="O205" t="s">
        <v>156</v>
      </c>
      <c r="P205">
        <v>22.66</v>
      </c>
      <c r="Q205" s="6" t="s">
        <v>92</v>
      </c>
      <c r="R205" s="6" t="s">
        <v>42</v>
      </c>
      <c r="S205" t="s">
        <v>158</v>
      </c>
      <c r="T205" s="7">
        <v>36</v>
      </c>
      <c r="U205" t="s">
        <v>77</v>
      </c>
      <c r="V205" s="7">
        <v>0.75</v>
      </c>
      <c r="W205">
        <v>112</v>
      </c>
      <c r="X205" t="s">
        <v>198</v>
      </c>
      <c r="Y205" t="s">
        <v>25</v>
      </c>
      <c r="Z205">
        <f>1/0.42</f>
        <v>2.3809523809523809</v>
      </c>
      <c r="AB205">
        <f t="shared" ref="AB205:AB209" si="19">1/0.49</f>
        <v>2.0408163265306123</v>
      </c>
    </row>
    <row r="206" spans="1:28" x14ac:dyDescent="0.3">
      <c r="A206">
        <v>17</v>
      </c>
      <c r="B206">
        <v>205</v>
      </c>
      <c r="C206" t="str">
        <f ca="1">LOOKUP(A206,RQ3_reference!A$2:A$199,RQ3_reference!B$2:B$196)</f>
        <v>Cho_2019_effect</v>
      </c>
      <c r="D206" t="s">
        <v>152</v>
      </c>
      <c r="E206" t="s">
        <v>180</v>
      </c>
      <c r="H206">
        <v>12</v>
      </c>
      <c r="L206" t="s">
        <v>14</v>
      </c>
      <c r="M206" t="s">
        <v>18</v>
      </c>
      <c r="N206" t="s">
        <v>23</v>
      </c>
      <c r="O206" t="s">
        <v>156</v>
      </c>
      <c r="P206">
        <v>22.66</v>
      </c>
      <c r="Q206" s="6" t="s">
        <v>92</v>
      </c>
      <c r="R206" s="6" t="s">
        <v>42</v>
      </c>
      <c r="S206" t="s">
        <v>159</v>
      </c>
      <c r="T206" s="7">
        <v>36</v>
      </c>
      <c r="U206" t="s">
        <v>77</v>
      </c>
      <c r="V206" s="7">
        <v>0.75</v>
      </c>
      <c r="W206">
        <v>112</v>
      </c>
      <c r="X206" t="s">
        <v>198</v>
      </c>
      <c r="Y206" t="s">
        <v>25</v>
      </c>
      <c r="Z206">
        <f>1/0.44</f>
        <v>2.2727272727272729</v>
      </c>
      <c r="AB206">
        <f t="shared" si="19"/>
        <v>2.0408163265306123</v>
      </c>
    </row>
    <row r="207" spans="1:28" x14ac:dyDescent="0.3">
      <c r="A207">
        <v>17</v>
      </c>
      <c r="B207">
        <v>206</v>
      </c>
      <c r="C207" t="str">
        <f ca="1">LOOKUP(A207,RQ3_reference!A$2:A$199,RQ3_reference!B$2:B$196)</f>
        <v>Cho_2019_effect</v>
      </c>
      <c r="D207" t="s">
        <v>152</v>
      </c>
      <c r="E207" t="s">
        <v>180</v>
      </c>
      <c r="H207">
        <v>12</v>
      </c>
      <c r="L207" t="s">
        <v>14</v>
      </c>
      <c r="M207" t="s">
        <v>18</v>
      </c>
      <c r="N207" t="s">
        <v>23</v>
      </c>
      <c r="O207" t="s">
        <v>156</v>
      </c>
      <c r="P207">
        <v>22.66</v>
      </c>
      <c r="Q207" s="6" t="s">
        <v>92</v>
      </c>
      <c r="R207" s="6" t="s">
        <v>42</v>
      </c>
      <c r="S207" t="s">
        <v>136</v>
      </c>
      <c r="T207" s="7">
        <v>36</v>
      </c>
      <c r="U207" t="s">
        <v>77</v>
      </c>
      <c r="V207" s="7">
        <v>0.75</v>
      </c>
      <c r="W207">
        <v>112</v>
      </c>
      <c r="X207" t="s">
        <v>198</v>
      </c>
      <c r="Y207" t="s">
        <v>25</v>
      </c>
      <c r="Z207">
        <f>1/0.4</f>
        <v>2.5</v>
      </c>
      <c r="AB207">
        <f t="shared" si="19"/>
        <v>2.0408163265306123</v>
      </c>
    </row>
    <row r="208" spans="1:28" x14ac:dyDescent="0.3">
      <c r="A208">
        <v>17</v>
      </c>
      <c r="B208">
        <v>207</v>
      </c>
      <c r="C208" t="str">
        <f ca="1">LOOKUP(A208,RQ3_reference!A$2:A$199,RQ3_reference!B$2:B$196)</f>
        <v>Cho_2019_effect</v>
      </c>
      <c r="D208" t="s">
        <v>152</v>
      </c>
      <c r="E208" t="s">
        <v>180</v>
      </c>
      <c r="H208">
        <v>12</v>
      </c>
      <c r="L208" t="s">
        <v>14</v>
      </c>
      <c r="M208" t="s">
        <v>18</v>
      </c>
      <c r="N208" t="s">
        <v>23</v>
      </c>
      <c r="O208" t="s">
        <v>156</v>
      </c>
      <c r="P208">
        <v>22.66</v>
      </c>
      <c r="Q208" s="6" t="s">
        <v>92</v>
      </c>
      <c r="R208" s="6" t="s">
        <v>42</v>
      </c>
      <c r="S208" t="s">
        <v>161</v>
      </c>
      <c r="T208" s="7">
        <v>36</v>
      </c>
      <c r="U208" t="s">
        <v>77</v>
      </c>
      <c r="V208" s="7">
        <v>0.75</v>
      </c>
      <c r="W208">
        <f>56*4</f>
        <v>224</v>
      </c>
      <c r="X208" t="s">
        <v>198</v>
      </c>
      <c r="Y208" t="s">
        <v>25</v>
      </c>
      <c r="Z208">
        <f>1/0.42</f>
        <v>2.3809523809523809</v>
      </c>
      <c r="AB208">
        <f t="shared" si="19"/>
        <v>2.0408163265306123</v>
      </c>
    </row>
    <row r="209" spans="1:28" x14ac:dyDescent="0.3">
      <c r="A209">
        <v>17</v>
      </c>
      <c r="B209">
        <v>208</v>
      </c>
      <c r="C209" t="str">
        <f ca="1">LOOKUP(A209,RQ3_reference!A$2:A$199,RQ3_reference!B$2:B$196)</f>
        <v>Cho_2019_effect</v>
      </c>
      <c r="D209" t="s">
        <v>152</v>
      </c>
      <c r="E209" t="s">
        <v>180</v>
      </c>
      <c r="H209">
        <v>12</v>
      </c>
      <c r="L209" t="s">
        <v>14</v>
      </c>
      <c r="M209" t="s">
        <v>18</v>
      </c>
      <c r="N209" t="s">
        <v>23</v>
      </c>
      <c r="O209" t="s">
        <v>156</v>
      </c>
      <c r="P209">
        <v>22.66</v>
      </c>
      <c r="Q209" s="6" t="s">
        <v>92</v>
      </c>
      <c r="R209" s="6" t="s">
        <v>42</v>
      </c>
      <c r="S209" t="s">
        <v>160</v>
      </c>
      <c r="T209" s="7">
        <v>36</v>
      </c>
      <c r="U209" t="s">
        <v>77</v>
      </c>
      <c r="V209" s="7">
        <v>0.75</v>
      </c>
      <c r="W209">
        <f>56*4</f>
        <v>224</v>
      </c>
      <c r="X209" t="s">
        <v>198</v>
      </c>
      <c r="Y209" t="s">
        <v>25</v>
      </c>
      <c r="Z209">
        <f>1/0.41</f>
        <v>2.4390243902439024</v>
      </c>
      <c r="AB209">
        <f t="shared" si="19"/>
        <v>2.0408163265306123</v>
      </c>
    </row>
    <row r="210" spans="1:28" x14ac:dyDescent="0.3">
      <c r="A210">
        <v>18</v>
      </c>
      <c r="B210">
        <v>209</v>
      </c>
      <c r="C210" t="str">
        <f ca="1">LOOKUP(A210,RQ3_reference!A$2:A$199,RQ3_reference!B$2:B$196)</f>
        <v>Hejdysz_2019_The</v>
      </c>
      <c r="D210" t="s">
        <v>72</v>
      </c>
      <c r="E210" t="s">
        <v>179</v>
      </c>
      <c r="H210">
        <v>14</v>
      </c>
      <c r="L210" t="s">
        <v>14</v>
      </c>
      <c r="M210" t="s">
        <v>18</v>
      </c>
      <c r="N210" t="s">
        <v>23</v>
      </c>
      <c r="O210" t="s">
        <v>166</v>
      </c>
      <c r="P210">
        <v>22</v>
      </c>
      <c r="Q210" s="6" t="s">
        <v>92</v>
      </c>
      <c r="R210" s="6" t="s">
        <v>42</v>
      </c>
      <c r="S210" t="s">
        <v>164</v>
      </c>
      <c r="T210" s="7">
        <v>30</v>
      </c>
      <c r="U210" t="s">
        <v>76</v>
      </c>
      <c r="V210" s="7">
        <v>0.3</v>
      </c>
      <c r="W210">
        <v>80</v>
      </c>
      <c r="X210" t="s">
        <v>208</v>
      </c>
      <c r="Y210" t="s">
        <v>209</v>
      </c>
      <c r="Z210">
        <f>0.324/14</f>
        <v>2.3142857142857142E-2</v>
      </c>
      <c r="AA210">
        <f>0.00604/14</f>
        <v>4.3142857142857143E-4</v>
      </c>
    </row>
    <row r="211" spans="1:28" x14ac:dyDescent="0.3">
      <c r="A211">
        <v>18</v>
      </c>
      <c r="B211">
        <v>210</v>
      </c>
      <c r="C211" t="str">
        <f ca="1">LOOKUP(A211,RQ3_reference!A$2:A$199,RQ3_reference!B$2:B$196)</f>
        <v>Hejdysz_2019_The</v>
      </c>
      <c r="D211" t="s">
        <v>72</v>
      </c>
      <c r="E211" t="s">
        <v>179</v>
      </c>
      <c r="H211">
        <v>14</v>
      </c>
      <c r="L211" t="s">
        <v>14</v>
      </c>
      <c r="M211" t="s">
        <v>18</v>
      </c>
      <c r="N211" t="s">
        <v>23</v>
      </c>
      <c r="O211" t="s">
        <v>166</v>
      </c>
      <c r="P211">
        <v>22</v>
      </c>
      <c r="Q211" s="6" t="s">
        <v>92</v>
      </c>
      <c r="R211" s="6" t="s">
        <v>42</v>
      </c>
      <c r="S211" t="s">
        <v>165</v>
      </c>
      <c r="T211" s="7">
        <v>30</v>
      </c>
      <c r="U211" t="s">
        <v>76</v>
      </c>
      <c r="V211" s="7">
        <v>0.3</v>
      </c>
      <c r="W211">
        <v>80</v>
      </c>
      <c r="X211" t="s">
        <v>208</v>
      </c>
      <c r="Y211" t="s">
        <v>209</v>
      </c>
      <c r="Z211">
        <f>0.335/14</f>
        <v>2.3928571428571431E-2</v>
      </c>
      <c r="AA211">
        <f>0.00604/14</f>
        <v>4.3142857142857143E-4</v>
      </c>
    </row>
    <row r="212" spans="1:28" x14ac:dyDescent="0.3">
      <c r="A212">
        <v>18</v>
      </c>
      <c r="B212">
        <v>211</v>
      </c>
      <c r="C212" t="str">
        <f ca="1">LOOKUP(A212,RQ3_reference!A$2:A$199,RQ3_reference!B$2:B$196)</f>
        <v>Hejdysz_2019_The</v>
      </c>
      <c r="D212" t="s">
        <v>72</v>
      </c>
      <c r="E212" t="s">
        <v>179</v>
      </c>
      <c r="H212">
        <v>14</v>
      </c>
      <c r="L212" t="s">
        <v>14</v>
      </c>
      <c r="M212" t="s">
        <v>18</v>
      </c>
      <c r="N212" t="s">
        <v>23</v>
      </c>
      <c r="O212" t="s">
        <v>166</v>
      </c>
      <c r="P212">
        <v>22</v>
      </c>
      <c r="Q212" s="6" t="s">
        <v>92</v>
      </c>
      <c r="R212" s="6" t="s">
        <v>42</v>
      </c>
      <c r="S212" t="s">
        <v>164</v>
      </c>
      <c r="T212" s="7">
        <v>30</v>
      </c>
      <c r="U212" t="s">
        <v>76</v>
      </c>
      <c r="V212" s="7">
        <v>0.3</v>
      </c>
      <c r="W212">
        <v>80</v>
      </c>
      <c r="X212" t="s">
        <v>24</v>
      </c>
      <c r="Y212" t="s">
        <v>195</v>
      </c>
      <c r="Z212">
        <v>75.2</v>
      </c>
      <c r="AA212">
        <v>1.4</v>
      </c>
    </row>
    <row r="213" spans="1:28" x14ac:dyDescent="0.3">
      <c r="A213">
        <v>18</v>
      </c>
      <c r="B213">
        <v>212</v>
      </c>
      <c r="C213" t="str">
        <f ca="1">LOOKUP(A213,RQ3_reference!A$2:A$199,RQ3_reference!B$2:B$196)</f>
        <v>Hejdysz_2019_The</v>
      </c>
      <c r="D213" t="s">
        <v>72</v>
      </c>
      <c r="E213" t="s">
        <v>179</v>
      </c>
      <c r="H213">
        <v>14</v>
      </c>
      <c r="L213" t="s">
        <v>14</v>
      </c>
      <c r="M213" t="s">
        <v>18</v>
      </c>
      <c r="N213" t="s">
        <v>23</v>
      </c>
      <c r="O213" t="s">
        <v>166</v>
      </c>
      <c r="P213">
        <v>22</v>
      </c>
      <c r="Q213" s="6" t="s">
        <v>92</v>
      </c>
      <c r="R213" s="6" t="s">
        <v>42</v>
      </c>
      <c r="S213" t="s">
        <v>165</v>
      </c>
      <c r="T213" s="7">
        <v>30</v>
      </c>
      <c r="U213" t="s">
        <v>76</v>
      </c>
      <c r="V213" s="7">
        <v>0.3</v>
      </c>
      <c r="W213">
        <v>80</v>
      </c>
      <c r="X213" t="s">
        <v>24</v>
      </c>
      <c r="Y213" t="s">
        <v>195</v>
      </c>
      <c r="Z213">
        <v>78.599999999999994</v>
      </c>
      <c r="AA213">
        <v>1.4</v>
      </c>
    </row>
    <row r="214" spans="1:28" x14ac:dyDescent="0.3">
      <c r="A214">
        <v>18</v>
      </c>
      <c r="B214">
        <v>213</v>
      </c>
      <c r="C214" t="str">
        <f ca="1">LOOKUP(A214,RQ3_reference!A$2:A$199,RQ3_reference!B$2:B$196)</f>
        <v>Hejdysz_2019_The</v>
      </c>
      <c r="D214" t="s">
        <v>72</v>
      </c>
      <c r="E214" t="s">
        <v>179</v>
      </c>
      <c r="H214">
        <v>14</v>
      </c>
      <c r="L214" t="s">
        <v>14</v>
      </c>
      <c r="M214" t="s">
        <v>18</v>
      </c>
      <c r="N214" t="s">
        <v>23</v>
      </c>
      <c r="O214" t="s">
        <v>166</v>
      </c>
      <c r="P214">
        <v>22</v>
      </c>
      <c r="Q214" s="6" t="s">
        <v>92</v>
      </c>
      <c r="R214" s="6" t="s">
        <v>42</v>
      </c>
      <c r="S214" t="s">
        <v>164</v>
      </c>
      <c r="T214" s="7">
        <v>30</v>
      </c>
      <c r="U214" t="s">
        <v>76</v>
      </c>
      <c r="V214" s="7">
        <v>0.3</v>
      </c>
      <c r="W214">
        <v>80</v>
      </c>
      <c r="X214" t="s">
        <v>71</v>
      </c>
      <c r="Y214" t="s">
        <v>13</v>
      </c>
      <c r="Z214">
        <v>48.4</v>
      </c>
      <c r="AA214">
        <v>1.8</v>
      </c>
    </row>
    <row r="215" spans="1:28" x14ac:dyDescent="0.3">
      <c r="A215">
        <v>18</v>
      </c>
      <c r="B215">
        <v>214</v>
      </c>
      <c r="C215" t="str">
        <f ca="1">LOOKUP(A215,RQ3_reference!A$2:A$199,RQ3_reference!B$2:B$196)</f>
        <v>Hejdysz_2019_The</v>
      </c>
      <c r="D215" t="s">
        <v>72</v>
      </c>
      <c r="E215" t="s">
        <v>179</v>
      </c>
      <c r="H215">
        <v>14</v>
      </c>
      <c r="L215" t="s">
        <v>14</v>
      </c>
      <c r="M215" t="s">
        <v>18</v>
      </c>
      <c r="N215" t="s">
        <v>23</v>
      </c>
      <c r="O215" t="s">
        <v>166</v>
      </c>
      <c r="P215">
        <v>22</v>
      </c>
      <c r="Q215" s="6" t="s">
        <v>92</v>
      </c>
      <c r="R215" s="6" t="s">
        <v>42</v>
      </c>
      <c r="S215" t="s">
        <v>165</v>
      </c>
      <c r="T215" s="7">
        <v>30</v>
      </c>
      <c r="U215" t="s">
        <v>76</v>
      </c>
      <c r="V215" s="7">
        <v>0.3</v>
      </c>
      <c r="W215">
        <v>80</v>
      </c>
      <c r="X215" t="s">
        <v>71</v>
      </c>
      <c r="Y215" t="s">
        <v>13</v>
      </c>
      <c r="Z215">
        <v>53.5</v>
      </c>
      <c r="AA215">
        <v>1.8</v>
      </c>
    </row>
    <row r="216" spans="1:28" x14ac:dyDescent="0.3">
      <c r="A216">
        <v>18</v>
      </c>
      <c r="B216">
        <v>215</v>
      </c>
      <c r="C216" t="str">
        <f ca="1">LOOKUP(A216,RQ3_reference!A$2:A$199,RQ3_reference!B$2:B$196)</f>
        <v>Hejdysz_2019_The</v>
      </c>
      <c r="D216" t="s">
        <v>72</v>
      </c>
      <c r="E216" t="s">
        <v>179</v>
      </c>
      <c r="H216">
        <v>14</v>
      </c>
      <c r="L216" t="s">
        <v>14</v>
      </c>
      <c r="M216" t="s">
        <v>18</v>
      </c>
      <c r="N216" t="s">
        <v>23</v>
      </c>
      <c r="O216" t="s">
        <v>166</v>
      </c>
      <c r="P216">
        <v>22</v>
      </c>
      <c r="Q216" s="6" t="s">
        <v>92</v>
      </c>
      <c r="R216" s="6" t="s">
        <v>42</v>
      </c>
      <c r="S216" t="s">
        <v>164</v>
      </c>
      <c r="T216" s="7">
        <v>30</v>
      </c>
      <c r="U216" t="s">
        <v>76</v>
      </c>
      <c r="V216" s="7">
        <v>0.3</v>
      </c>
      <c r="W216">
        <v>80</v>
      </c>
      <c r="X216" t="s">
        <v>198</v>
      </c>
      <c r="Y216" t="s">
        <v>25</v>
      </c>
      <c r="Z216">
        <v>1.38</v>
      </c>
      <c r="AA216">
        <v>0.02</v>
      </c>
    </row>
    <row r="217" spans="1:28" x14ac:dyDescent="0.3">
      <c r="A217">
        <v>18</v>
      </c>
      <c r="B217">
        <v>216</v>
      </c>
      <c r="C217" t="str">
        <f ca="1">LOOKUP(A217,RQ3_reference!A$2:A$199,RQ3_reference!B$2:B$196)</f>
        <v>Hejdysz_2019_The</v>
      </c>
      <c r="D217" t="s">
        <v>72</v>
      </c>
      <c r="E217" t="s">
        <v>179</v>
      </c>
      <c r="H217">
        <v>14</v>
      </c>
      <c r="L217" t="s">
        <v>14</v>
      </c>
      <c r="M217" t="s">
        <v>18</v>
      </c>
      <c r="N217" t="s">
        <v>23</v>
      </c>
      <c r="O217" t="s">
        <v>166</v>
      </c>
      <c r="P217">
        <v>22</v>
      </c>
      <c r="Q217" s="6" t="s">
        <v>92</v>
      </c>
      <c r="R217" s="6" t="s">
        <v>42</v>
      </c>
      <c r="S217" t="s">
        <v>165</v>
      </c>
      <c r="T217" s="7">
        <v>30</v>
      </c>
      <c r="U217" t="s">
        <v>76</v>
      </c>
      <c r="V217" s="7">
        <v>0.3</v>
      </c>
      <c r="W217">
        <v>80</v>
      </c>
      <c r="X217" t="s">
        <v>198</v>
      </c>
      <c r="Y217" t="s">
        <v>25</v>
      </c>
      <c r="Z217">
        <v>1.66</v>
      </c>
      <c r="AA217">
        <v>0.02</v>
      </c>
    </row>
    <row r="218" spans="1:28" x14ac:dyDescent="0.3">
      <c r="A218">
        <v>18</v>
      </c>
      <c r="B218">
        <v>217</v>
      </c>
      <c r="C218" t="str">
        <f ca="1">LOOKUP(A218,RQ3_reference!A$2:A$199,RQ3_reference!B$2:B$196)</f>
        <v>Hejdysz_2019_The</v>
      </c>
      <c r="D218" t="s">
        <v>72</v>
      </c>
      <c r="E218" t="s">
        <v>179</v>
      </c>
      <c r="H218">
        <v>21</v>
      </c>
      <c r="L218" t="s">
        <v>14</v>
      </c>
      <c r="M218" t="s">
        <v>18</v>
      </c>
      <c r="N218" t="s">
        <v>23</v>
      </c>
      <c r="O218" t="s">
        <v>166</v>
      </c>
      <c r="P218">
        <v>21</v>
      </c>
      <c r="Q218" s="6" t="s">
        <v>92</v>
      </c>
      <c r="R218" s="6" t="s">
        <v>42</v>
      </c>
      <c r="S218" t="s">
        <v>164</v>
      </c>
      <c r="T218" s="7">
        <v>30</v>
      </c>
      <c r="U218" t="s">
        <v>77</v>
      </c>
      <c r="V218" s="7">
        <v>0.3</v>
      </c>
      <c r="W218">
        <v>80</v>
      </c>
      <c r="X218" t="s">
        <v>208</v>
      </c>
      <c r="Y218" t="s">
        <v>209</v>
      </c>
      <c r="Z218">
        <f>1.531/21</f>
        <v>7.2904761904761903E-2</v>
      </c>
      <c r="AA218">
        <f>0.0278/21</f>
        <v>1.3238095238095238E-3</v>
      </c>
    </row>
    <row r="219" spans="1:28" x14ac:dyDescent="0.3">
      <c r="A219">
        <v>18</v>
      </c>
      <c r="B219">
        <v>218</v>
      </c>
      <c r="C219" t="str">
        <f ca="1">LOOKUP(A219,RQ3_reference!A$2:A$199,RQ3_reference!B$2:B$196)</f>
        <v>Hejdysz_2019_The</v>
      </c>
      <c r="D219" t="s">
        <v>72</v>
      </c>
      <c r="E219" t="s">
        <v>179</v>
      </c>
      <c r="H219">
        <v>21</v>
      </c>
      <c r="L219" t="s">
        <v>14</v>
      </c>
      <c r="M219" t="s">
        <v>18</v>
      </c>
      <c r="N219" t="s">
        <v>23</v>
      </c>
      <c r="O219" t="s">
        <v>166</v>
      </c>
      <c r="P219">
        <v>21</v>
      </c>
      <c r="Q219" s="6" t="s">
        <v>92</v>
      </c>
      <c r="R219" s="6" t="s">
        <v>42</v>
      </c>
      <c r="S219" t="s">
        <v>165</v>
      </c>
      <c r="T219" s="7">
        <v>30</v>
      </c>
      <c r="U219" t="s">
        <v>77</v>
      </c>
      <c r="V219" s="7">
        <v>0.3</v>
      </c>
      <c r="W219">
        <v>80</v>
      </c>
      <c r="X219" t="s">
        <v>208</v>
      </c>
      <c r="Y219" t="s">
        <v>209</v>
      </c>
      <c r="Z219">
        <f>1.492/21</f>
        <v>7.1047619047619054E-2</v>
      </c>
      <c r="AA219">
        <f>0.0278/21</f>
        <v>1.3238095238095238E-3</v>
      </c>
    </row>
    <row r="220" spans="1:28" x14ac:dyDescent="0.3">
      <c r="A220">
        <v>18</v>
      </c>
      <c r="B220">
        <v>219</v>
      </c>
      <c r="C220" t="str">
        <f ca="1">LOOKUP(A220,RQ3_reference!A$2:A$199,RQ3_reference!B$2:B$196)</f>
        <v>Hejdysz_2019_The</v>
      </c>
      <c r="D220" t="s">
        <v>72</v>
      </c>
      <c r="E220" t="s">
        <v>179</v>
      </c>
      <c r="H220">
        <v>21</v>
      </c>
      <c r="L220" t="s">
        <v>14</v>
      </c>
      <c r="M220" t="s">
        <v>18</v>
      </c>
      <c r="N220" t="s">
        <v>23</v>
      </c>
      <c r="O220" t="s">
        <v>166</v>
      </c>
      <c r="P220">
        <v>21</v>
      </c>
      <c r="Q220" s="6" t="s">
        <v>92</v>
      </c>
      <c r="R220" s="6" t="s">
        <v>42</v>
      </c>
      <c r="S220" t="s">
        <v>164</v>
      </c>
      <c r="T220" s="7">
        <v>30</v>
      </c>
      <c r="U220" t="s">
        <v>77</v>
      </c>
      <c r="V220" s="7">
        <v>0.3</v>
      </c>
      <c r="W220">
        <v>80</v>
      </c>
      <c r="X220" t="s">
        <v>198</v>
      </c>
      <c r="Y220" t="s">
        <v>25</v>
      </c>
      <c r="Z220">
        <v>1.31</v>
      </c>
      <c r="AA220">
        <v>0.02</v>
      </c>
    </row>
    <row r="221" spans="1:28" x14ac:dyDescent="0.3">
      <c r="A221">
        <v>18</v>
      </c>
      <c r="B221">
        <v>220</v>
      </c>
      <c r="C221" t="str">
        <f ca="1">LOOKUP(A221,RQ3_reference!A$2:A$199,RQ3_reference!B$2:B$196)</f>
        <v>Hejdysz_2019_The</v>
      </c>
      <c r="D221" t="s">
        <v>72</v>
      </c>
      <c r="E221" t="s">
        <v>179</v>
      </c>
      <c r="H221">
        <v>21</v>
      </c>
      <c r="L221" t="s">
        <v>14</v>
      </c>
      <c r="M221" t="s">
        <v>18</v>
      </c>
      <c r="N221" t="s">
        <v>23</v>
      </c>
      <c r="O221" t="s">
        <v>166</v>
      </c>
      <c r="P221">
        <v>21</v>
      </c>
      <c r="Q221" s="6" t="s">
        <v>92</v>
      </c>
      <c r="R221" s="6" t="s">
        <v>42</v>
      </c>
      <c r="S221" t="s">
        <v>165</v>
      </c>
      <c r="T221" s="7">
        <v>30</v>
      </c>
      <c r="U221" t="s">
        <v>77</v>
      </c>
      <c r="V221" s="7">
        <v>0.3</v>
      </c>
      <c r="W221">
        <v>80</v>
      </c>
      <c r="X221" t="s">
        <v>198</v>
      </c>
      <c r="Y221" t="s">
        <v>25</v>
      </c>
      <c r="Z221">
        <v>1.57</v>
      </c>
      <c r="AA221">
        <v>0.02</v>
      </c>
    </row>
    <row r="222" spans="1:28" x14ac:dyDescent="0.3">
      <c r="A222">
        <v>19</v>
      </c>
      <c r="B222">
        <v>221</v>
      </c>
      <c r="C222" t="str">
        <f ca="1">LOOKUP(A222,RQ3_reference!A$2:A$199,RQ3_reference!B$2:B$196)</f>
        <v>Keto_2021_Effect</v>
      </c>
      <c r="D222" t="s">
        <v>173</v>
      </c>
      <c r="E222" t="s">
        <v>188</v>
      </c>
      <c r="H222">
        <v>42</v>
      </c>
      <c r="L222" t="s">
        <v>14</v>
      </c>
      <c r="M222" t="s">
        <v>18</v>
      </c>
      <c r="N222" t="s">
        <v>23</v>
      </c>
      <c r="O222" t="s">
        <v>172</v>
      </c>
      <c r="P222">
        <v>18.7</v>
      </c>
      <c r="Q222" s="6" t="s">
        <v>37</v>
      </c>
      <c r="R222" s="6" t="s">
        <v>203</v>
      </c>
      <c r="T222" s="7">
        <v>10</v>
      </c>
      <c r="U222" t="s">
        <v>77</v>
      </c>
      <c r="V222" s="7">
        <f>1-194/220</f>
        <v>0.11818181818181817</v>
      </c>
      <c r="W222">
        <v>48</v>
      </c>
      <c r="X222" t="s">
        <v>208</v>
      </c>
      <c r="Y222" t="s">
        <v>209</v>
      </c>
      <c r="Z222">
        <v>1.18</v>
      </c>
      <c r="AA222">
        <v>8.0000000000000002E-3</v>
      </c>
    </row>
    <row r="223" spans="1:28" x14ac:dyDescent="0.3">
      <c r="A223">
        <v>19</v>
      </c>
      <c r="B223">
        <v>222</v>
      </c>
      <c r="C223" t="str">
        <f ca="1">LOOKUP(A223,RQ3_reference!A$2:A$199,RQ3_reference!B$2:B$196)</f>
        <v>Keto_2021_Effect</v>
      </c>
      <c r="D223" t="s">
        <v>173</v>
      </c>
      <c r="E223" t="s">
        <v>188</v>
      </c>
      <c r="H223">
        <v>42</v>
      </c>
      <c r="L223" t="s">
        <v>14</v>
      </c>
      <c r="M223" t="s">
        <v>18</v>
      </c>
      <c r="N223" t="s">
        <v>23</v>
      </c>
      <c r="O223" t="s">
        <v>172</v>
      </c>
      <c r="P223">
        <v>18.7</v>
      </c>
      <c r="Q223" s="6" t="s">
        <v>37</v>
      </c>
      <c r="R223" s="6" t="s">
        <v>203</v>
      </c>
      <c r="T223" s="7">
        <v>10</v>
      </c>
      <c r="U223" t="s">
        <v>77</v>
      </c>
      <c r="V223" s="7">
        <f>1-194/220</f>
        <v>0.11818181818181817</v>
      </c>
      <c r="W223">
        <v>80</v>
      </c>
      <c r="X223" t="s">
        <v>208</v>
      </c>
      <c r="Y223" t="s">
        <v>209</v>
      </c>
      <c r="Z223">
        <v>1.19</v>
      </c>
      <c r="AA223">
        <v>8.0000000000000002E-3</v>
      </c>
    </row>
    <row r="224" spans="1:28" x14ac:dyDescent="0.3">
      <c r="A224">
        <v>19</v>
      </c>
      <c r="B224">
        <v>223</v>
      </c>
      <c r="C224" t="str">
        <f ca="1">LOOKUP(A224,RQ3_reference!A$2:A$199,RQ3_reference!B$2:B$196)</f>
        <v>Keto_2021_Effect</v>
      </c>
      <c r="D224" t="s">
        <v>173</v>
      </c>
      <c r="E224" t="s">
        <v>188</v>
      </c>
      <c r="H224">
        <v>42</v>
      </c>
      <c r="L224" t="s">
        <v>14</v>
      </c>
      <c r="M224" t="s">
        <v>18</v>
      </c>
      <c r="N224" t="s">
        <v>23</v>
      </c>
      <c r="O224" t="s">
        <v>172</v>
      </c>
      <c r="P224">
        <v>18.7</v>
      </c>
      <c r="Q224" s="6" t="s">
        <v>37</v>
      </c>
      <c r="R224" s="6" t="s">
        <v>203</v>
      </c>
      <c r="T224" s="7">
        <v>10</v>
      </c>
      <c r="U224" t="s">
        <v>77</v>
      </c>
      <c r="V224" s="7">
        <f>1-194/220</f>
        <v>0.11818181818181817</v>
      </c>
      <c r="W224">
        <v>64</v>
      </c>
      <c r="X224" t="s">
        <v>208</v>
      </c>
      <c r="Y224" t="s">
        <v>209</v>
      </c>
      <c r="Z224">
        <v>1.17</v>
      </c>
      <c r="AA224">
        <v>8.0000000000000002E-3</v>
      </c>
    </row>
    <row r="225" spans="1:29" x14ac:dyDescent="0.3">
      <c r="A225">
        <v>19</v>
      </c>
      <c r="B225">
        <v>224</v>
      </c>
      <c r="C225" t="str">
        <f ca="1">LOOKUP(A225,RQ3_reference!A$2:A$199,RQ3_reference!B$2:B$196)</f>
        <v>Keto_2021_Effect</v>
      </c>
      <c r="D225" t="s">
        <v>173</v>
      </c>
      <c r="E225" t="s">
        <v>188</v>
      </c>
      <c r="H225">
        <v>42</v>
      </c>
      <c r="L225" t="s">
        <v>14</v>
      </c>
      <c r="M225" t="s">
        <v>18</v>
      </c>
      <c r="N225" t="s">
        <v>23</v>
      </c>
      <c r="O225" t="s">
        <v>172</v>
      </c>
      <c r="P225">
        <v>18.7</v>
      </c>
      <c r="Q225" s="6" t="s">
        <v>37</v>
      </c>
      <c r="R225" s="6" t="s">
        <v>203</v>
      </c>
      <c r="T225" s="7">
        <v>10</v>
      </c>
      <c r="U225" t="s">
        <v>77</v>
      </c>
      <c r="V225" s="7">
        <f>1-194/220</f>
        <v>0.11818181818181817</v>
      </c>
      <c r="W225">
        <v>80</v>
      </c>
      <c r="X225" t="s">
        <v>208</v>
      </c>
      <c r="Y225" t="s">
        <v>209</v>
      </c>
      <c r="Z225">
        <v>1.1599999999999999</v>
      </c>
      <c r="AA225">
        <v>8.0000000000000002E-3</v>
      </c>
    </row>
    <row r="226" spans="1:29" x14ac:dyDescent="0.3">
      <c r="A226">
        <v>20</v>
      </c>
      <c r="B226">
        <v>225</v>
      </c>
      <c r="C226" t="str">
        <f ca="1">LOOKUP(A226,RQ3_reference!A$2:A$199,RQ3_reference!B$2:B$196)</f>
        <v>Stødkilde_2021_Biorefined</v>
      </c>
      <c r="D226" t="s">
        <v>174</v>
      </c>
      <c r="E226" t="s">
        <v>176</v>
      </c>
      <c r="F226" t="s">
        <v>177</v>
      </c>
      <c r="G226" t="s">
        <v>178</v>
      </c>
      <c r="H226">
        <v>7</v>
      </c>
      <c r="L226" t="s">
        <v>14</v>
      </c>
      <c r="M226" t="s">
        <v>18</v>
      </c>
      <c r="N226" t="s">
        <v>190</v>
      </c>
      <c r="P226">
        <v>20.399999999999999</v>
      </c>
      <c r="Q226" s="6" t="s">
        <v>37</v>
      </c>
      <c r="R226" s="6" t="s">
        <v>203</v>
      </c>
      <c r="S226" t="s">
        <v>175</v>
      </c>
      <c r="T226" s="7">
        <v>5</v>
      </c>
      <c r="U226" t="s">
        <v>78</v>
      </c>
      <c r="V226" s="7">
        <v>0.05</v>
      </c>
      <c r="W226">
        <v>12</v>
      </c>
      <c r="X226" t="s">
        <v>208</v>
      </c>
      <c r="Y226" t="s">
        <v>209</v>
      </c>
      <c r="Z226">
        <v>1.008</v>
      </c>
      <c r="AA226">
        <v>4.2299999999999997E-2</v>
      </c>
      <c r="AB226">
        <v>0.995</v>
      </c>
      <c r="AC226">
        <v>4.2299999999999997E-2</v>
      </c>
    </row>
    <row r="227" spans="1:29" x14ac:dyDescent="0.3">
      <c r="A227">
        <v>20</v>
      </c>
      <c r="B227">
        <v>226</v>
      </c>
      <c r="C227" t="str">
        <f ca="1">LOOKUP(A227,RQ3_reference!A$2:A$199,RQ3_reference!B$2:B$196)</f>
        <v>Stødkilde_2021_Biorefined</v>
      </c>
      <c r="D227" t="s">
        <v>174</v>
      </c>
      <c r="E227" t="s">
        <v>176</v>
      </c>
      <c r="H227">
        <v>7</v>
      </c>
      <c r="L227" t="s">
        <v>14</v>
      </c>
      <c r="M227" t="s">
        <v>18</v>
      </c>
      <c r="N227" t="s">
        <v>190</v>
      </c>
      <c r="P227">
        <v>18.7</v>
      </c>
      <c r="Q227" s="6" t="s">
        <v>37</v>
      </c>
      <c r="R227" s="6" t="s">
        <v>203</v>
      </c>
      <c r="S227" t="s">
        <v>199</v>
      </c>
      <c r="T227" s="7">
        <v>10</v>
      </c>
      <c r="U227" t="s">
        <v>78</v>
      </c>
      <c r="V227" s="7">
        <v>0.1</v>
      </c>
      <c r="W227">
        <v>12</v>
      </c>
      <c r="X227" t="s">
        <v>208</v>
      </c>
      <c r="Y227" t="s">
        <v>209</v>
      </c>
      <c r="Z227">
        <v>1.0209999999999999</v>
      </c>
      <c r="AA227">
        <v>4.2299999999999997E-2</v>
      </c>
      <c r="AB227">
        <v>0.995</v>
      </c>
      <c r="AC227">
        <v>4.2299999999999997E-2</v>
      </c>
    </row>
    <row r="228" spans="1:29" x14ac:dyDescent="0.3">
      <c r="A228">
        <v>20</v>
      </c>
      <c r="B228">
        <v>227</v>
      </c>
      <c r="C228" t="str">
        <f ca="1">LOOKUP(A228,RQ3_reference!A$2:A$199,RQ3_reference!B$2:B$196)</f>
        <v>Stødkilde_2021_Biorefined</v>
      </c>
      <c r="D228" t="s">
        <v>174</v>
      </c>
      <c r="E228" t="s">
        <v>176</v>
      </c>
      <c r="H228">
        <v>7</v>
      </c>
      <c r="L228" t="s">
        <v>14</v>
      </c>
      <c r="M228" t="s">
        <v>18</v>
      </c>
      <c r="N228" t="s">
        <v>190</v>
      </c>
      <c r="P228">
        <v>17</v>
      </c>
      <c r="Q228" s="6" t="s">
        <v>37</v>
      </c>
      <c r="R228" s="6" t="s">
        <v>203</v>
      </c>
      <c r="S228" t="s">
        <v>200</v>
      </c>
      <c r="T228" s="7">
        <v>15</v>
      </c>
      <c r="U228" t="s">
        <v>78</v>
      </c>
      <c r="V228" s="7">
        <v>0.15</v>
      </c>
      <c r="W228">
        <v>12</v>
      </c>
      <c r="X228" t="s">
        <v>208</v>
      </c>
      <c r="Y228" t="s">
        <v>209</v>
      </c>
      <c r="Z228">
        <v>1.03</v>
      </c>
      <c r="AA228">
        <v>4.2299999999999997E-2</v>
      </c>
      <c r="AB228">
        <v>0.995</v>
      </c>
      <c r="AC228">
        <v>4.2299999999999997E-2</v>
      </c>
    </row>
    <row r="229" spans="1:29" x14ac:dyDescent="0.3">
      <c r="A229">
        <v>20</v>
      </c>
      <c r="B229">
        <v>228</v>
      </c>
      <c r="C229" t="str">
        <f ca="1">LOOKUP(A229,RQ3_reference!A$2:A$199,RQ3_reference!B$2:B$196)</f>
        <v>Stødkilde_2021_Biorefined</v>
      </c>
      <c r="D229" t="s">
        <v>174</v>
      </c>
      <c r="E229" t="s">
        <v>176</v>
      </c>
      <c r="F229" t="s">
        <v>177</v>
      </c>
      <c r="G229" t="s">
        <v>178</v>
      </c>
      <c r="L229" t="s">
        <v>14</v>
      </c>
      <c r="M229" t="s">
        <v>18</v>
      </c>
      <c r="N229" t="s">
        <v>190</v>
      </c>
      <c r="P229">
        <v>20.399999999999999</v>
      </c>
      <c r="Q229" s="6" t="s">
        <v>37</v>
      </c>
      <c r="R229" s="6" t="s">
        <v>203</v>
      </c>
      <c r="S229" t="s">
        <v>175</v>
      </c>
      <c r="T229" s="7">
        <v>5</v>
      </c>
      <c r="U229" t="s">
        <v>78</v>
      </c>
      <c r="V229" s="7">
        <v>0.05</v>
      </c>
      <c r="W229">
        <v>12</v>
      </c>
      <c r="X229" t="s">
        <v>198</v>
      </c>
      <c r="Y229" t="s">
        <v>25</v>
      </c>
      <c r="Z229">
        <f>1/0.496</f>
        <v>2.0161290322580645</v>
      </c>
      <c r="AA229">
        <v>0.1</v>
      </c>
      <c r="AB229">
        <f>1/0.479</f>
        <v>2.0876826722338206</v>
      </c>
      <c r="AC229">
        <v>0.1</v>
      </c>
    </row>
    <row r="230" spans="1:29" x14ac:dyDescent="0.3">
      <c r="A230">
        <v>20</v>
      </c>
      <c r="B230">
        <v>229</v>
      </c>
      <c r="C230" t="str">
        <f ca="1">LOOKUP(A230,RQ3_reference!A$2:A$199,RQ3_reference!B$2:B$196)</f>
        <v>Stødkilde_2021_Biorefined</v>
      </c>
      <c r="D230" t="s">
        <v>174</v>
      </c>
      <c r="E230" t="s">
        <v>176</v>
      </c>
      <c r="L230" t="s">
        <v>14</v>
      </c>
      <c r="M230" t="s">
        <v>18</v>
      </c>
      <c r="N230" t="s">
        <v>190</v>
      </c>
      <c r="P230">
        <v>20.399999999999999</v>
      </c>
      <c r="Q230" s="6" t="s">
        <v>37</v>
      </c>
      <c r="R230" s="6" t="s">
        <v>203</v>
      </c>
      <c r="S230" t="s">
        <v>199</v>
      </c>
      <c r="T230" s="7">
        <v>10</v>
      </c>
      <c r="U230" t="s">
        <v>78</v>
      </c>
      <c r="V230" s="7">
        <v>0.1</v>
      </c>
      <c r="W230">
        <v>12</v>
      </c>
      <c r="X230" t="s">
        <v>198</v>
      </c>
      <c r="Y230" t="s">
        <v>25</v>
      </c>
      <c r="Z230">
        <f>1/0.497</f>
        <v>2.0120724346076457</v>
      </c>
      <c r="AA230">
        <v>0.1</v>
      </c>
      <c r="AB230">
        <f t="shared" ref="AB230:AB231" si="20">1/0.479</f>
        <v>2.0876826722338206</v>
      </c>
      <c r="AC230">
        <v>0.1</v>
      </c>
    </row>
    <row r="231" spans="1:29" x14ac:dyDescent="0.3">
      <c r="A231">
        <v>20</v>
      </c>
      <c r="B231">
        <v>230</v>
      </c>
      <c r="C231" t="str">
        <f ca="1">LOOKUP(A231,RQ3_reference!A$2:A$199,RQ3_reference!B$2:B$196)</f>
        <v>Stødkilde_2021_Biorefined</v>
      </c>
      <c r="D231" t="s">
        <v>174</v>
      </c>
      <c r="E231" t="s">
        <v>176</v>
      </c>
      <c r="L231" t="s">
        <v>14</v>
      </c>
      <c r="M231" t="s">
        <v>18</v>
      </c>
      <c r="N231" t="s">
        <v>190</v>
      </c>
      <c r="P231">
        <v>20.399999999999999</v>
      </c>
      <c r="Q231" s="6" t="s">
        <v>37</v>
      </c>
      <c r="R231" s="6" t="s">
        <v>203</v>
      </c>
      <c r="S231" t="s">
        <v>200</v>
      </c>
      <c r="T231" s="7">
        <v>15</v>
      </c>
      <c r="U231" t="s">
        <v>78</v>
      </c>
      <c r="V231" s="7">
        <v>0.15</v>
      </c>
      <c r="W231">
        <v>12</v>
      </c>
      <c r="X231" t="s">
        <v>198</v>
      </c>
      <c r="Y231" t="s">
        <v>25</v>
      </c>
      <c r="Z231">
        <f>1/0.482</f>
        <v>2.0746887966804981</v>
      </c>
      <c r="AA231">
        <v>0.1</v>
      </c>
      <c r="AB231">
        <f t="shared" si="20"/>
        <v>2.0876826722338206</v>
      </c>
      <c r="AC231">
        <v>0.1</v>
      </c>
    </row>
  </sheetData>
  <autoFilter ref="Y1:Y231" xr:uid="{A17FEFC6-BC40-4DCD-8388-E64B4A518A3D}"/>
  <phoneticPr fontId="9"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A2A4A1-1FFD-4D76-945C-FB5A61BE2882}">
  <dimension ref="A1:C21"/>
  <sheetViews>
    <sheetView zoomScale="111" workbookViewId="0">
      <selection activeCell="A2" sqref="A2:A21"/>
    </sheetView>
  </sheetViews>
  <sheetFormatPr defaultRowHeight="14.4" x14ac:dyDescent="0.3"/>
  <cols>
    <col min="2" max="2" width="37.44140625" customWidth="1"/>
    <col min="3" max="3" width="10.6640625" customWidth="1"/>
  </cols>
  <sheetData>
    <row r="1" spans="1:3" x14ac:dyDescent="0.3">
      <c r="A1" s="1" t="s">
        <v>15</v>
      </c>
      <c r="B1" s="2" t="s">
        <v>16</v>
      </c>
      <c r="C1" s="1" t="s">
        <v>17</v>
      </c>
    </row>
    <row r="2" spans="1:3" x14ac:dyDescent="0.3">
      <c r="A2">
        <v>1</v>
      </c>
      <c r="B2" t="s">
        <v>19</v>
      </c>
      <c r="C2" t="s">
        <v>39</v>
      </c>
    </row>
    <row r="3" spans="1:3" x14ac:dyDescent="0.3">
      <c r="A3">
        <v>2</v>
      </c>
      <c r="B3" t="s">
        <v>27</v>
      </c>
      <c r="C3" t="s">
        <v>38</v>
      </c>
    </row>
    <row r="4" spans="1:3" x14ac:dyDescent="0.3">
      <c r="A4">
        <v>3</v>
      </c>
      <c r="B4" t="s">
        <v>41</v>
      </c>
      <c r="C4" t="s">
        <v>40</v>
      </c>
    </row>
    <row r="5" spans="1:3" x14ac:dyDescent="0.3">
      <c r="A5">
        <v>4</v>
      </c>
      <c r="B5" t="s">
        <v>51</v>
      </c>
      <c r="C5" t="s">
        <v>50</v>
      </c>
    </row>
    <row r="6" spans="1:3" x14ac:dyDescent="0.3">
      <c r="A6">
        <v>5</v>
      </c>
      <c r="B6" t="s">
        <v>53</v>
      </c>
      <c r="C6" t="s">
        <v>52</v>
      </c>
    </row>
    <row r="7" spans="1:3" x14ac:dyDescent="0.3">
      <c r="A7">
        <v>6</v>
      </c>
      <c r="B7" t="s">
        <v>54</v>
      </c>
      <c r="C7" t="s">
        <v>167</v>
      </c>
    </row>
    <row r="8" spans="1:3" x14ac:dyDescent="0.3">
      <c r="A8">
        <v>7</v>
      </c>
      <c r="B8" t="s">
        <v>56</v>
      </c>
      <c r="C8" t="s">
        <v>55</v>
      </c>
    </row>
    <row r="9" spans="1:3" x14ac:dyDescent="0.3">
      <c r="A9">
        <v>8</v>
      </c>
      <c r="B9" t="s">
        <v>58</v>
      </c>
      <c r="C9" t="s">
        <v>57</v>
      </c>
    </row>
    <row r="10" spans="1:3" x14ac:dyDescent="0.3">
      <c r="A10">
        <v>9</v>
      </c>
      <c r="B10" t="s">
        <v>60</v>
      </c>
      <c r="C10" t="s">
        <v>59</v>
      </c>
    </row>
    <row r="11" spans="1:3" x14ac:dyDescent="0.3">
      <c r="A11">
        <v>10</v>
      </c>
      <c r="B11" t="s">
        <v>99</v>
      </c>
      <c r="C11" t="s">
        <v>98</v>
      </c>
    </row>
    <row r="12" spans="1:3" x14ac:dyDescent="0.3">
      <c r="A12">
        <v>11</v>
      </c>
      <c r="B12" t="s">
        <v>88</v>
      </c>
      <c r="C12" t="s">
        <v>87</v>
      </c>
    </row>
    <row r="13" spans="1:3" x14ac:dyDescent="0.3">
      <c r="A13">
        <v>12</v>
      </c>
      <c r="B13" t="s">
        <v>105</v>
      </c>
      <c r="C13" t="s">
        <v>104</v>
      </c>
    </row>
    <row r="14" spans="1:3" x14ac:dyDescent="0.3">
      <c r="A14">
        <v>13</v>
      </c>
      <c r="B14" t="s">
        <v>112</v>
      </c>
      <c r="C14" t="s">
        <v>111</v>
      </c>
    </row>
    <row r="15" spans="1:3" x14ac:dyDescent="0.3">
      <c r="A15">
        <v>14</v>
      </c>
      <c r="B15" t="s">
        <v>120</v>
      </c>
      <c r="C15" t="s">
        <v>119</v>
      </c>
    </row>
    <row r="16" spans="1:3" x14ac:dyDescent="0.3">
      <c r="A16">
        <v>15</v>
      </c>
      <c r="B16" t="s">
        <v>130</v>
      </c>
      <c r="C16" t="s">
        <v>129</v>
      </c>
    </row>
    <row r="17" spans="1:3" x14ac:dyDescent="0.3">
      <c r="A17">
        <v>16</v>
      </c>
      <c r="B17" t="s">
        <v>139</v>
      </c>
      <c r="C17" t="s">
        <v>138</v>
      </c>
    </row>
    <row r="18" spans="1:3" x14ac:dyDescent="0.3">
      <c r="A18">
        <v>17</v>
      </c>
      <c r="B18" t="s">
        <v>151</v>
      </c>
      <c r="C18" t="s">
        <v>150</v>
      </c>
    </row>
    <row r="19" spans="1:3" x14ac:dyDescent="0.3">
      <c r="A19">
        <v>18</v>
      </c>
      <c r="B19" t="s">
        <v>163</v>
      </c>
      <c r="C19" t="s">
        <v>162</v>
      </c>
    </row>
    <row r="20" spans="1:3" x14ac:dyDescent="0.3">
      <c r="A20">
        <v>19</v>
      </c>
      <c r="B20" t="s">
        <v>169</v>
      </c>
      <c r="C20" t="s">
        <v>168</v>
      </c>
    </row>
    <row r="21" spans="1:3" x14ac:dyDescent="0.3">
      <c r="A21">
        <v>20</v>
      </c>
      <c r="B21" t="s">
        <v>171</v>
      </c>
      <c r="C21" t="s">
        <v>170</v>
      </c>
    </row>
  </sheetData>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805C233095455B4E8D77A60418F63AE2" ma:contentTypeVersion="17" ma:contentTypeDescription="Create a new document." ma:contentTypeScope="" ma:versionID="d8f27682910d1cad1581df4c3225fcbd">
  <xsd:schema xmlns:xsd="http://www.w3.org/2001/XMLSchema" xmlns:xs="http://www.w3.org/2001/XMLSchema" xmlns:p="http://schemas.microsoft.com/office/2006/metadata/properties" xmlns:ns2="5db17345-b4eb-4637-a02c-6c069878d2b2" xmlns:ns3="b0e85a64-8fc1-4bad-a10c-f0bc3ffd3009" targetNamespace="http://schemas.microsoft.com/office/2006/metadata/properties" ma:root="true" ma:fieldsID="82f5adcd2403d076c54f7052aba3d40c" ns2:_="" ns3:_="">
    <xsd:import namespace="5db17345-b4eb-4637-a02c-6c069878d2b2"/>
    <xsd:import namespace="b0e85a64-8fc1-4bad-a10c-f0bc3ffd3009"/>
    <xsd:element name="properties">
      <xsd:complexType>
        <xsd:sequence>
          <xsd:element name="documentManagement">
            <xsd:complexType>
              <xsd:all>
                <xsd:element ref="ns2:WPleader" minOccurs="0"/>
                <xsd:element ref="ns2:MediaServiceMetadata" minOccurs="0"/>
                <xsd:element ref="ns2:MediaServiceFastMetadata" minOccurs="0"/>
                <xsd:element ref="ns2:MediaServiceAutoKeyPoints" minOccurs="0"/>
                <xsd:element ref="ns2:MediaServiceKeyPoints" minOccurs="0"/>
                <xsd:element ref="ns2:lcf76f155ced4ddcb4097134ff3c332f" minOccurs="0"/>
                <xsd:element ref="ns3:TaxCatchAll" minOccurs="0"/>
                <xsd:element ref="ns2:MediaServiceGenerationTime" minOccurs="0"/>
                <xsd:element ref="ns2:MediaServiceEventHashCode" minOccurs="0"/>
                <xsd:element ref="ns2:MediaServiceDateTaken" minOccurs="0"/>
                <xsd:element ref="ns2:MediaLengthInSeconds" minOccurs="0"/>
                <xsd:element ref="ns2:MediaServiceObjectDetectorVersions" minOccurs="0"/>
                <xsd:element ref="ns3:SharedWithUsers" minOccurs="0"/>
                <xsd:element ref="ns3:SharedWithDetail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db17345-b4eb-4637-a02c-6c069878d2b2" elementFormDefault="qualified">
    <xsd:import namespace="http://schemas.microsoft.com/office/2006/documentManagement/types"/>
    <xsd:import namespace="http://schemas.microsoft.com/office/infopath/2007/PartnerControls"/>
    <xsd:element name="WPleader" ma:index="8" nillable="true" ma:displayName="WP leader" ma:format="Dropdown" ma:internalName="WPleader">
      <xsd:simpleType>
        <xsd:restriction base="dms:Choice">
          <xsd:enumeration value="1. UGent"/>
          <xsd:enumeration value="7.WR"/>
          <xsd:enumeration value="6.WU"/>
          <xsd:enumeration value="5.UVIC"/>
          <xsd:enumeration value="12.PWC"/>
          <xsd:enumeration value="8.RISE"/>
        </xsd:restriction>
      </xsd:simpleType>
    </xsd:element>
    <xsd:element name="MediaServiceMetadata" ma:index="9" nillable="true" ma:displayName="MediaServiceMetadata" ma:hidden="true" ma:internalName="MediaServiceMetadata" ma:readOnly="true">
      <xsd:simpleType>
        <xsd:restriction base="dms:Note"/>
      </xsd:simpleType>
    </xsd:element>
    <xsd:element name="MediaServiceFastMetadata" ma:index="10" nillable="true" ma:displayName="MediaServiceFastMetadata" ma:hidden="true" ma:internalName="MediaServiceFastMetadata" ma:readOnly="true">
      <xsd:simpleType>
        <xsd:restriction base="dms:Note"/>
      </xsd:simpleType>
    </xsd:element>
    <xsd:element name="MediaServiceAutoKeyPoints" ma:index="11" nillable="true" ma:displayName="MediaServiceAutoKeyPoints" ma:hidden="true" ma:internalName="MediaServiceAutoKeyPoints" ma:readOnly="true">
      <xsd:simpleType>
        <xsd:restriction base="dms:Note"/>
      </xsd:simpleType>
    </xsd:element>
    <xsd:element name="MediaServiceKeyPoints" ma:index="12" nillable="true" ma:displayName="KeyPoints" ma:internalName="MediaServiceKeyPoints" ma:readOnly="true">
      <xsd:simpleType>
        <xsd:restriction base="dms:Note">
          <xsd:maxLength value="255"/>
        </xsd:restriction>
      </xsd:simpleType>
    </xsd:element>
    <xsd:element name="lcf76f155ced4ddcb4097134ff3c332f" ma:index="14" nillable="true" ma:taxonomy="true" ma:internalName="lcf76f155ced4ddcb4097134ff3c332f" ma:taxonomyFieldName="MediaServiceImageTags" ma:displayName="Image Tags" ma:readOnly="false" ma:fieldId="{5cf76f15-5ced-4ddc-b409-7134ff3c332f}" ma:taxonomyMulti="true" ma:sspId="3b9bb814-139f-4039-9463-697760f06ab3" ma:termSetId="09814cd3-568e-fe90-9814-8d621ff8fb84" ma:anchorId="fba54fb3-c3e1-fe81-a776-ca4b69148c4d" ma:open="true" ma:isKeyword="false">
      <xsd:complexType>
        <xsd:sequence>
          <xsd:element ref="pc:Terms" minOccurs="0" maxOccurs="1"/>
        </xsd:sequence>
      </xsd:complex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dexed="true" ma:internalName="MediaServiceDateTaken"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element name="MediaServiceSearchProperties" ma:index="23"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b0e85a64-8fc1-4bad-a10c-f0bc3ffd3009" elementFormDefault="qualified">
    <xsd:import namespace="http://schemas.microsoft.com/office/2006/documentManagement/types"/>
    <xsd:import namespace="http://schemas.microsoft.com/office/infopath/2007/PartnerControls"/>
    <xsd:element name="TaxCatchAll" ma:index="15" nillable="true" ma:displayName="Taxonomy Catch All Column" ma:hidden="true" ma:list="{76dc7354-0f53-4fe4-9157-4f3b05b1d849}" ma:internalName="TaxCatchAll" ma:showField="CatchAllData" ma:web="b0e85a64-8fc1-4bad-a10c-f0bc3ffd3009">
      <xsd:complexType>
        <xsd:complexContent>
          <xsd:extension base="dms:MultiChoiceLookup">
            <xsd:sequence>
              <xsd:element name="Value" type="dms:Lookup" maxOccurs="unbounded" minOccurs="0" nillable="true"/>
            </xsd:sequence>
          </xsd:extension>
        </xsd:complexContent>
      </xsd:complexType>
    </xsd:element>
    <xsd:element name="SharedWithUsers" ma:index="2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2"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7"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WPleader xmlns="5db17345-b4eb-4637-a02c-6c069878d2b2" xsi:nil="true"/>
    <lcf76f155ced4ddcb4097134ff3c332f xmlns="5db17345-b4eb-4637-a02c-6c069878d2b2">
      <Terms xmlns="http://schemas.microsoft.com/office/infopath/2007/PartnerControls"/>
    </lcf76f155ced4ddcb4097134ff3c332f>
    <TaxCatchAll xmlns="b0e85a64-8fc1-4bad-a10c-f0bc3ffd3009" xsi:nil="true"/>
  </documentManagement>
</p:properties>
</file>

<file path=customXml/itemProps1.xml><?xml version="1.0" encoding="utf-8"?>
<ds:datastoreItem xmlns:ds="http://schemas.openxmlformats.org/officeDocument/2006/customXml" ds:itemID="{38497684-139F-4009-AAC9-C56DFE36120B}">
  <ds:schemaRefs>
    <ds:schemaRef ds:uri="http://schemas.microsoft.com/sharepoint/v3/contenttype/forms"/>
  </ds:schemaRefs>
</ds:datastoreItem>
</file>

<file path=customXml/itemProps2.xml><?xml version="1.0" encoding="utf-8"?>
<ds:datastoreItem xmlns:ds="http://schemas.openxmlformats.org/officeDocument/2006/customXml" ds:itemID="{C8EAA50C-E2B8-422B-B148-CF06C8E5359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db17345-b4eb-4637-a02c-6c069878d2b2"/>
    <ds:schemaRef ds:uri="b0e85a64-8fc1-4bad-a10c-f0bc3ffd300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B35628C1-6DED-4DF9-94F5-BE9AF8F77FE0}">
  <ds:schemaRefs>
    <ds:schemaRef ds:uri="http://www.w3.org/XML/1998/namespace"/>
    <ds:schemaRef ds:uri="b0e85a64-8fc1-4bad-a10c-f0bc3ffd3009"/>
    <ds:schemaRef ds:uri="http://schemas.microsoft.com/office/2006/documentManagement/types"/>
    <ds:schemaRef ds:uri="http://purl.org/dc/terms/"/>
    <ds:schemaRef ds:uri="http://schemas.microsoft.com/office/infopath/2007/PartnerControls"/>
    <ds:schemaRef ds:uri="http://schemas.microsoft.com/office/2006/metadata/properties"/>
    <ds:schemaRef ds:uri="5db17345-b4eb-4637-a02c-6c069878d2b2"/>
    <ds:schemaRef ds:uri="http://schemas.openxmlformats.org/package/2006/metadata/core-properties"/>
    <ds:schemaRef ds:uri="http://purl.org/dc/dcmitype/"/>
    <ds:schemaRef ds:uri="http://purl.org/dc/elements/1.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RQ3_database</vt:lpstr>
      <vt:lpstr>RQ3_reference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Hongzhen Luo</dc:creator>
  <cp:keywords/>
  <dc:description/>
  <cp:lastModifiedBy>Hongzhen Luo</cp:lastModifiedBy>
  <cp:revision/>
  <dcterms:created xsi:type="dcterms:W3CDTF">2023-11-03T19:30:54Z</dcterms:created>
  <dcterms:modified xsi:type="dcterms:W3CDTF">2024-06-17T09:47:42Z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0x010100805C233095455B4E8D77A60418F63AE2</vt:lpwstr>
  </property>
  <property fmtid="{D5CDD505-2E9C-101B-9397-08002B2CF9AE}" pid="3" name="MediaServiceImageTags">
    <vt:lpwstr/>
  </property>
</Properties>
</file>